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thony-PC\Downloads\GRIN_design_tools\GRIN_design_tools\"/>
    </mc:Choice>
  </mc:AlternateContent>
  <bookViews>
    <workbookView xWindow="0" yWindow="0" windowWidth="21570" windowHeight="8145" tabRatio="797"/>
  </bookViews>
  <sheets>
    <sheet name="Material Properties" sheetId="16" r:id="rId1"/>
    <sheet name="Create New Materials" sheetId="22" r:id="rId2"/>
    <sheet name="Radial GRIN Controls" sheetId="10" r:id="rId3"/>
    <sheet name="Spherical GRIN Controls" sheetId="21" r:id="rId4"/>
    <sheet name="Rad-Spherical GRIN Controls" sheetId="23" r:id="rId5"/>
    <sheet name="Axial GRIN Controls" sheetId="19" r:id="rId6"/>
  </sheets>
  <definedNames>
    <definedName name="solver_adj" localSheetId="5" hidden="1">'Axial GRIN Controls'!$C$7</definedName>
    <definedName name="solver_adj" localSheetId="2" hidden="1">'Radial GRIN Controls'!$C$7</definedName>
    <definedName name="solver_adj" localSheetId="4" hidden="1">'Rad-Spherical GRIN Controls'!$C$7</definedName>
    <definedName name="solver_cvg" localSheetId="5" hidden="1">0.0001</definedName>
    <definedName name="solver_cvg" localSheetId="2" hidden="1">0.0001</definedName>
    <definedName name="solver_cvg" localSheetId="4" hidden="1">0.0001</definedName>
    <definedName name="solver_drv" localSheetId="5" hidden="1">1</definedName>
    <definedName name="solver_drv" localSheetId="2" hidden="1">1</definedName>
    <definedName name="solver_drv" localSheetId="4" hidden="1">1</definedName>
    <definedName name="solver_est" localSheetId="5" hidden="1">1</definedName>
    <definedName name="solver_est" localSheetId="2" hidden="1">1</definedName>
    <definedName name="solver_est" localSheetId="4" hidden="1">1</definedName>
    <definedName name="solver_itr" localSheetId="5" hidden="1">100</definedName>
    <definedName name="solver_itr" localSheetId="2" hidden="1">100</definedName>
    <definedName name="solver_itr" localSheetId="4" hidden="1">100</definedName>
    <definedName name="solver_lin" localSheetId="5" hidden="1">2</definedName>
    <definedName name="solver_lin" localSheetId="2" hidden="1">2</definedName>
    <definedName name="solver_lin" localSheetId="4" hidden="1">2</definedName>
    <definedName name="solver_neg" localSheetId="5" hidden="1">2</definedName>
    <definedName name="solver_neg" localSheetId="2" hidden="1">2</definedName>
    <definedName name="solver_neg" localSheetId="4" hidden="1">2</definedName>
    <definedName name="solver_num" localSheetId="5" hidden="1">0</definedName>
    <definedName name="solver_num" localSheetId="2" hidden="1">0</definedName>
    <definedName name="solver_num" localSheetId="4" hidden="1">0</definedName>
    <definedName name="solver_nwt" localSheetId="5" hidden="1">1</definedName>
    <definedName name="solver_nwt" localSheetId="2" hidden="1">1</definedName>
    <definedName name="solver_nwt" localSheetId="4" hidden="1">1</definedName>
    <definedName name="solver_opt" localSheetId="5" hidden="1">'Axial GRIN Controls'!$D$7</definedName>
    <definedName name="solver_opt" localSheetId="2" hidden="1">'Radial GRIN Controls'!$E$15</definedName>
    <definedName name="solver_opt" localSheetId="4" hidden="1">'Rad-Spherical GRIN Controls'!$E$15</definedName>
    <definedName name="solver_pre" localSheetId="5" hidden="1">0.000001</definedName>
    <definedName name="solver_pre" localSheetId="2" hidden="1">0.000001</definedName>
    <definedName name="solver_pre" localSheetId="4" hidden="1">0.000001</definedName>
    <definedName name="solver_scl" localSheetId="5" hidden="1">2</definedName>
    <definedName name="solver_scl" localSheetId="2" hidden="1">2</definedName>
    <definedName name="solver_scl" localSheetId="4" hidden="1">2</definedName>
    <definedName name="solver_sho" localSheetId="5" hidden="1">2</definedName>
    <definedName name="solver_sho" localSheetId="2" hidden="1">2</definedName>
    <definedName name="solver_sho" localSheetId="4" hidden="1">2</definedName>
    <definedName name="solver_tim" localSheetId="5" hidden="1">100</definedName>
    <definedName name="solver_tim" localSheetId="2" hidden="1">100</definedName>
    <definedName name="solver_tim" localSheetId="4" hidden="1">100</definedName>
    <definedName name="solver_tol" localSheetId="5" hidden="1">0.05</definedName>
    <definedName name="solver_tol" localSheetId="2" hidden="1">0.05</definedName>
    <definedName name="solver_tol" localSheetId="4" hidden="1">0.05</definedName>
    <definedName name="solver_typ" localSheetId="5" hidden="1">3</definedName>
    <definedName name="solver_typ" localSheetId="2" hidden="1">2</definedName>
    <definedName name="solver_typ" localSheetId="4" hidden="1">2</definedName>
    <definedName name="solver_val" localSheetId="5" hidden="1">1.7886</definedName>
    <definedName name="solver_val" localSheetId="2" hidden="1">-0.0055</definedName>
    <definedName name="solver_val" localSheetId="4" hidden="1">-0.0055</definedName>
  </definedNames>
  <calcPr calcId="152511"/>
</workbook>
</file>

<file path=xl/calcChain.xml><?xml version="1.0" encoding="utf-8"?>
<calcChain xmlns="http://schemas.openxmlformats.org/spreadsheetml/2006/main">
  <c r="E6" i="10" l="1"/>
  <c r="K3" i="10" l="1"/>
  <c r="J3" i="10"/>
  <c r="I3" i="10"/>
  <c r="H3" i="10"/>
  <c r="G3" i="10"/>
  <c r="F3" i="10"/>
  <c r="E3" i="10"/>
  <c r="D3" i="10"/>
  <c r="K2" i="10"/>
  <c r="J2" i="10"/>
  <c r="I2" i="10"/>
  <c r="H2" i="10"/>
  <c r="G2" i="10"/>
  <c r="F2" i="10"/>
  <c r="E2" i="10"/>
  <c r="D2" i="10"/>
  <c r="A290" i="23" l="1"/>
  <c r="A288" i="23"/>
  <c r="A287" i="23"/>
  <c r="A286" i="23"/>
  <c r="A284" i="23"/>
  <c r="A283" i="23"/>
  <c r="A282" i="23"/>
  <c r="A281" i="23"/>
  <c r="A279" i="23"/>
  <c r="A278" i="23"/>
  <c r="A277" i="23"/>
  <c r="A276" i="23"/>
  <c r="A273" i="23"/>
  <c r="A272" i="23"/>
  <c r="A271" i="23"/>
  <c r="A269" i="23"/>
  <c r="A268" i="23"/>
  <c r="A266" i="23"/>
  <c r="A265" i="23"/>
  <c r="A263" i="23"/>
  <c r="A262" i="23"/>
  <c r="A259" i="23"/>
  <c r="A258" i="23"/>
  <c r="A255" i="23"/>
  <c r="A254" i="23"/>
  <c r="A252" i="23"/>
  <c r="A251" i="23"/>
  <c r="A250" i="23"/>
  <c r="A249" i="23"/>
  <c r="A248" i="23"/>
  <c r="A247" i="23"/>
  <c r="A246" i="23"/>
  <c r="A245" i="23"/>
  <c r="A244" i="23"/>
  <c r="A243" i="23"/>
  <c r="A242" i="23"/>
  <c r="A241" i="23"/>
  <c r="A239" i="23"/>
  <c r="A238" i="23"/>
  <c r="A236" i="23"/>
  <c r="A235" i="23"/>
  <c r="A234" i="23"/>
  <c r="A233" i="23"/>
  <c r="A232" i="23"/>
  <c r="A231" i="23"/>
  <c r="A230" i="23"/>
  <c r="A229" i="23"/>
  <c r="A228" i="23"/>
  <c r="A227" i="23"/>
  <c r="A226" i="23"/>
  <c r="A225" i="23"/>
  <c r="A224" i="23"/>
  <c r="A222" i="23"/>
  <c r="A220" i="23"/>
  <c r="A219" i="23"/>
  <c r="A218" i="23"/>
  <c r="A217" i="23"/>
  <c r="A216" i="23"/>
  <c r="A215" i="23"/>
  <c r="A214" i="23"/>
  <c r="A213" i="23"/>
  <c r="A212" i="23"/>
  <c r="A211" i="23"/>
  <c r="A210" i="23"/>
  <c r="A209" i="23"/>
  <c r="A208" i="23"/>
  <c r="A207" i="23"/>
  <c r="A206" i="23"/>
  <c r="A205" i="23"/>
  <c r="A204" i="23"/>
  <c r="A203" i="23"/>
  <c r="A202" i="23"/>
  <c r="A201" i="23"/>
  <c r="A200" i="23"/>
  <c r="A199" i="23"/>
  <c r="A198" i="23"/>
  <c r="A197" i="23"/>
  <c r="A196" i="23"/>
  <c r="A195" i="23"/>
  <c r="A194" i="23"/>
  <c r="A193" i="23"/>
  <c r="A192" i="23"/>
  <c r="A191" i="23"/>
  <c r="A190" i="23"/>
  <c r="A189" i="23"/>
  <c r="A188" i="23"/>
  <c r="A187" i="23"/>
  <c r="A186" i="23"/>
  <c r="A185" i="23"/>
  <c r="A184" i="23"/>
  <c r="A183" i="23"/>
  <c r="A182" i="23"/>
  <c r="A181" i="23"/>
  <c r="A180" i="23"/>
  <c r="A179" i="23"/>
  <c r="A178" i="23"/>
  <c r="A177" i="23"/>
  <c r="A176" i="23"/>
  <c r="A175" i="23"/>
  <c r="A174" i="23"/>
  <c r="A173" i="23"/>
  <c r="A172" i="23"/>
  <c r="A171" i="23"/>
  <c r="A170" i="23"/>
  <c r="A169" i="23"/>
  <c r="A168" i="23"/>
  <c r="A167" i="23"/>
  <c r="A166" i="23"/>
  <c r="A165" i="23"/>
  <c r="A164" i="23"/>
  <c r="A163" i="23"/>
  <c r="A162" i="23"/>
  <c r="A161" i="23"/>
  <c r="A160" i="23"/>
  <c r="A159" i="23"/>
  <c r="A158" i="23"/>
  <c r="A157" i="23"/>
  <c r="A156" i="23"/>
  <c r="A155" i="23"/>
  <c r="A154" i="23"/>
  <c r="A153" i="23"/>
  <c r="A152" i="23"/>
  <c r="A151" i="23"/>
  <c r="A150" i="23"/>
  <c r="A149" i="23"/>
  <c r="A148" i="23"/>
  <c r="A147" i="23"/>
  <c r="A146" i="23"/>
  <c r="A145" i="23"/>
  <c r="A144" i="23"/>
  <c r="A143" i="23"/>
  <c r="A142" i="23"/>
  <c r="A141" i="23"/>
  <c r="A140" i="23"/>
  <c r="A139" i="23"/>
  <c r="A138" i="23"/>
  <c r="A137" i="23"/>
  <c r="A136" i="23"/>
  <c r="A135" i="23"/>
  <c r="A134" i="23"/>
  <c r="A133" i="23"/>
  <c r="A132" i="23"/>
  <c r="A131" i="23"/>
  <c r="A130" i="23"/>
  <c r="A129" i="23"/>
  <c r="A128" i="23"/>
  <c r="A127" i="23"/>
  <c r="A126" i="23"/>
  <c r="A125" i="23"/>
  <c r="A124" i="23"/>
  <c r="A123" i="23"/>
  <c r="A122" i="23"/>
  <c r="A121" i="23"/>
  <c r="A120" i="23"/>
  <c r="A119" i="23"/>
  <c r="A118" i="23"/>
  <c r="A117" i="23"/>
  <c r="A116" i="23"/>
  <c r="A115" i="23"/>
  <c r="A114" i="23"/>
  <c r="A113" i="23"/>
  <c r="A112" i="23"/>
  <c r="A111" i="23"/>
  <c r="A109" i="23"/>
  <c r="A108" i="23"/>
  <c r="A107" i="23"/>
  <c r="A106" i="23"/>
  <c r="A105" i="23"/>
  <c r="A104" i="23"/>
  <c r="A103" i="23"/>
  <c r="A102" i="23"/>
  <c r="A101" i="23"/>
  <c r="A100" i="23"/>
  <c r="A99" i="23"/>
  <c r="A98" i="23"/>
  <c r="A97" i="23"/>
  <c r="A96" i="23"/>
  <c r="A95" i="23"/>
  <c r="A94" i="23"/>
  <c r="A93" i="23"/>
  <c r="A92" i="23"/>
  <c r="A91" i="23"/>
  <c r="A90" i="23"/>
  <c r="A89" i="23"/>
  <c r="A88" i="23"/>
  <c r="A87" i="23"/>
  <c r="A86" i="23"/>
  <c r="A85" i="23"/>
  <c r="A84" i="23"/>
  <c r="A83" i="23"/>
  <c r="A82" i="23"/>
  <c r="A81" i="23"/>
  <c r="A80" i="23"/>
  <c r="A79" i="23"/>
  <c r="A78" i="23"/>
  <c r="A77" i="23"/>
  <c r="A76" i="23"/>
  <c r="A75" i="23"/>
  <c r="A74" i="23"/>
  <c r="A73" i="23"/>
  <c r="A72" i="23"/>
  <c r="A71" i="23"/>
  <c r="A70" i="23"/>
  <c r="A69" i="23"/>
  <c r="A68" i="23"/>
  <c r="A67" i="23"/>
  <c r="A66" i="23"/>
  <c r="A65" i="23"/>
  <c r="A64" i="23"/>
  <c r="A63" i="23"/>
  <c r="A62" i="23"/>
  <c r="A61" i="23"/>
  <c r="A60" i="23"/>
  <c r="A59" i="23"/>
  <c r="A58" i="23"/>
  <c r="A57" i="23"/>
  <c r="A56" i="23"/>
  <c r="A55" i="23"/>
  <c r="A54" i="23"/>
  <c r="A53" i="23"/>
  <c r="A52" i="23"/>
  <c r="A51" i="23"/>
  <c r="Z50" i="23"/>
  <c r="A50" i="23"/>
  <c r="Z49" i="23"/>
  <c r="A49" i="23"/>
  <c r="Z48" i="23"/>
  <c r="A48" i="23"/>
  <c r="Z47" i="23"/>
  <c r="A47" i="23"/>
  <c r="Z46" i="23"/>
  <c r="A46" i="23"/>
  <c r="Z45" i="23"/>
  <c r="A45" i="23"/>
  <c r="Z44" i="23"/>
  <c r="A44" i="23"/>
  <c r="Z43" i="23"/>
  <c r="A43" i="23"/>
  <c r="Z42" i="23"/>
  <c r="Z41" i="23"/>
  <c r="Z40" i="23"/>
  <c r="A40" i="23"/>
  <c r="Z39" i="23"/>
  <c r="Z38" i="23"/>
  <c r="Z37" i="23"/>
  <c r="Z36" i="23"/>
  <c r="Z35" i="23"/>
  <c r="Z34" i="23"/>
  <c r="Z33" i="23"/>
  <c r="Z32" i="23"/>
  <c r="Z31" i="23"/>
  <c r="Z30" i="23"/>
  <c r="Z29" i="23"/>
  <c r="Z28" i="23"/>
  <c r="I28" i="23"/>
  <c r="E28" i="23"/>
  <c r="Z27" i="23"/>
  <c r="H27" i="23"/>
  <c r="E27" i="23"/>
  <c r="B27" i="23"/>
  <c r="Z26" i="23"/>
  <c r="Z25" i="23"/>
  <c r="Z24" i="23"/>
  <c r="Z23" i="23"/>
  <c r="Z21" i="23"/>
  <c r="P21" i="23"/>
  <c r="M21" i="23"/>
  <c r="L21" i="23"/>
  <c r="K21" i="23"/>
  <c r="J21" i="23"/>
  <c r="I21" i="23"/>
  <c r="H21" i="23"/>
  <c r="G21" i="23"/>
  <c r="F21" i="23"/>
  <c r="E21" i="23"/>
  <c r="D20" i="23"/>
  <c r="P20" i="23" s="1"/>
  <c r="Z19" i="23"/>
  <c r="D19" i="23"/>
  <c r="P19" i="23" s="1"/>
  <c r="Z18" i="23"/>
  <c r="D18" i="23"/>
  <c r="P18" i="23" s="1"/>
  <c r="Z17" i="23"/>
  <c r="D17" i="23"/>
  <c r="I29" i="23" s="1"/>
  <c r="Z16" i="23"/>
  <c r="M16" i="23"/>
  <c r="L16" i="23"/>
  <c r="K16" i="23"/>
  <c r="J16" i="23"/>
  <c r="I16" i="23"/>
  <c r="H16" i="23"/>
  <c r="G16" i="23"/>
  <c r="F16" i="23"/>
  <c r="E16" i="23"/>
  <c r="B28" i="23" s="1"/>
  <c r="D16" i="23"/>
  <c r="Z15" i="23"/>
  <c r="Z14" i="23"/>
  <c r="Z13" i="23"/>
  <c r="Z12" i="23"/>
  <c r="Z11" i="23"/>
  <c r="Z10" i="23"/>
  <c r="Z9" i="23"/>
  <c r="M7" i="23"/>
  <c r="L7" i="23"/>
  <c r="K7" i="23"/>
  <c r="J7" i="23"/>
  <c r="I7" i="23"/>
  <c r="H7" i="23"/>
  <c r="G7" i="23"/>
  <c r="F7" i="23"/>
  <c r="E7" i="23"/>
  <c r="D7" i="23"/>
  <c r="M6" i="23"/>
  <c r="L6" i="23"/>
  <c r="K6" i="23"/>
  <c r="J6" i="23"/>
  <c r="I6" i="23"/>
  <c r="H6" i="23"/>
  <c r="G6" i="23"/>
  <c r="F6" i="23"/>
  <c r="E6" i="23"/>
  <c r="D6" i="23"/>
  <c r="P16" i="23" l="1"/>
  <c r="E17" i="23"/>
  <c r="G17" i="23"/>
  <c r="I17" i="23"/>
  <c r="K17" i="23"/>
  <c r="M17" i="23"/>
  <c r="U17" i="23"/>
  <c r="E18" i="23"/>
  <c r="G18" i="23"/>
  <c r="I18" i="23"/>
  <c r="K18" i="23"/>
  <c r="M18" i="23"/>
  <c r="U18" i="23"/>
  <c r="E19" i="23"/>
  <c r="G19" i="23"/>
  <c r="I19" i="23"/>
  <c r="K19" i="23"/>
  <c r="M19" i="23"/>
  <c r="U19" i="23"/>
  <c r="E20" i="23"/>
  <c r="G20" i="23"/>
  <c r="I20" i="23"/>
  <c r="K20" i="23"/>
  <c r="M20" i="23"/>
  <c r="U20" i="23"/>
  <c r="F25" i="23"/>
  <c r="E29" i="23"/>
  <c r="F17" i="23"/>
  <c r="B29" i="23" s="1"/>
  <c r="H17" i="23"/>
  <c r="J17" i="23"/>
  <c r="L17" i="23"/>
  <c r="P17" i="23"/>
  <c r="F18" i="23"/>
  <c r="H18" i="23"/>
  <c r="J18" i="23"/>
  <c r="L18" i="23"/>
  <c r="F19" i="23"/>
  <c r="H19" i="23"/>
  <c r="J19" i="23"/>
  <c r="L19" i="23"/>
  <c r="F20" i="23"/>
  <c r="H20" i="23"/>
  <c r="J20" i="23"/>
  <c r="L20" i="23"/>
  <c r="B25" i="23"/>
  <c r="A37" i="23" l="1"/>
  <c r="AA64" i="23"/>
  <c r="AA63" i="23"/>
  <c r="AA62" i="23"/>
  <c r="AA61" i="23"/>
  <c r="AA60" i="23"/>
  <c r="AA59" i="23"/>
  <c r="AA58" i="23"/>
  <c r="AA57" i="23"/>
  <c r="AA56" i="23"/>
  <c r="AA55" i="23"/>
  <c r="AA54" i="23"/>
  <c r="AA53" i="23"/>
  <c r="AA52" i="23"/>
  <c r="AA51" i="23"/>
  <c r="AA50" i="23"/>
  <c r="AA48" i="23"/>
  <c r="AA46" i="23"/>
  <c r="AA44" i="23"/>
  <c r="AA42" i="23"/>
  <c r="AA41" i="23"/>
  <c r="AA40" i="23"/>
  <c r="AA36" i="23"/>
  <c r="AA35" i="23"/>
  <c r="AA34" i="23"/>
  <c r="AA33" i="23"/>
  <c r="AA32" i="23"/>
  <c r="AA31" i="23"/>
  <c r="AA30" i="23"/>
  <c r="AA29" i="23"/>
  <c r="AA27" i="23"/>
  <c r="AA21" i="23"/>
  <c r="AA20" i="23"/>
  <c r="AA15" i="23"/>
  <c r="AA14" i="23"/>
  <c r="AA13" i="23"/>
  <c r="AA12" i="23"/>
  <c r="AA11" i="23"/>
  <c r="AA10" i="23"/>
  <c r="AA9" i="23"/>
  <c r="AA49" i="23"/>
  <c r="AA47" i="23"/>
  <c r="AA45" i="23"/>
  <c r="AA43" i="23"/>
  <c r="AA39" i="23"/>
  <c r="AA38" i="23"/>
  <c r="AA37" i="23"/>
  <c r="AA28" i="23"/>
  <c r="AA26" i="23"/>
  <c r="AA25" i="23"/>
  <c r="AA24" i="23"/>
  <c r="AA23" i="23"/>
  <c r="AA22" i="23"/>
  <c r="AA19" i="23"/>
  <c r="AA18" i="23"/>
  <c r="AA17" i="23"/>
  <c r="AA16" i="23"/>
  <c r="C9" i="23" l="1"/>
  <c r="C8" i="23"/>
  <c r="L8" i="23" l="1"/>
  <c r="L11" i="23" s="1"/>
  <c r="J8" i="23"/>
  <c r="H8" i="23"/>
  <c r="H11" i="23" s="1"/>
  <c r="F8" i="23"/>
  <c r="D8" i="23"/>
  <c r="M8" i="23"/>
  <c r="K8" i="23"/>
  <c r="K11" i="23" s="1"/>
  <c r="I8" i="23"/>
  <c r="G8" i="23"/>
  <c r="G11" i="23" s="1"/>
  <c r="E8" i="23"/>
  <c r="M9" i="23"/>
  <c r="K9" i="23"/>
  <c r="I9" i="23"/>
  <c r="G9" i="23"/>
  <c r="E9" i="23"/>
  <c r="L9" i="23"/>
  <c r="J9" i="23"/>
  <c r="H9" i="23"/>
  <c r="F9" i="23"/>
  <c r="D9" i="23"/>
  <c r="D11" i="23" l="1"/>
  <c r="E11" i="23"/>
  <c r="I11" i="23"/>
  <c r="M11" i="23"/>
  <c r="F11" i="23"/>
  <c r="J11" i="23"/>
  <c r="A308" i="19" l="1"/>
  <c r="A307" i="19"/>
  <c r="D21" i="16" l="1"/>
  <c r="M11" i="22"/>
  <c r="N11" i="22"/>
  <c r="M10" i="22"/>
  <c r="N10" i="22"/>
  <c r="F10" i="22"/>
  <c r="G10" i="22"/>
  <c r="H10" i="22"/>
  <c r="I10" i="22"/>
  <c r="J10" i="22"/>
  <c r="K10" i="22"/>
  <c r="L10" i="22"/>
  <c r="E10" i="22"/>
  <c r="F11" i="22"/>
  <c r="G11" i="22"/>
  <c r="H11" i="22"/>
  <c r="I11" i="22"/>
  <c r="J11" i="22"/>
  <c r="K11" i="22"/>
  <c r="L11" i="22"/>
  <c r="E11" i="22"/>
  <c r="M22" i="16"/>
  <c r="L22" i="16"/>
  <c r="K22" i="16"/>
  <c r="J22" i="16"/>
  <c r="I22" i="16"/>
  <c r="H22" i="16"/>
  <c r="G22" i="16"/>
  <c r="F22" i="16"/>
  <c r="E22" i="16"/>
  <c r="D22" i="16"/>
  <c r="M21" i="16"/>
  <c r="L21" i="16"/>
  <c r="K21" i="16"/>
  <c r="J21" i="16"/>
  <c r="I21" i="16"/>
  <c r="H21" i="16"/>
  <c r="G21" i="16"/>
  <c r="F21" i="16"/>
  <c r="E21" i="16"/>
  <c r="A166" i="10"/>
  <c r="A165" i="10"/>
  <c r="F25" i="22" l="1"/>
  <c r="G25" i="22"/>
  <c r="H25" i="22"/>
  <c r="I25" i="22"/>
  <c r="J25" i="22"/>
  <c r="K25" i="22"/>
  <c r="L25" i="22"/>
  <c r="M25" i="22"/>
  <c r="N25" i="22"/>
  <c r="E25" i="22"/>
  <c r="F24" i="22"/>
  <c r="G24" i="22"/>
  <c r="H24" i="22"/>
  <c r="I24" i="22"/>
  <c r="J24" i="22"/>
  <c r="K24" i="22"/>
  <c r="L24" i="22"/>
  <c r="M24" i="22"/>
  <c r="N24" i="22"/>
  <c r="E24" i="22"/>
  <c r="M17" i="16"/>
  <c r="L17" i="16"/>
  <c r="K17" i="16"/>
  <c r="J17" i="16"/>
  <c r="I17" i="16"/>
  <c r="H17" i="16"/>
  <c r="G17" i="16"/>
  <c r="F17" i="16"/>
  <c r="E17" i="16"/>
  <c r="D17" i="16"/>
  <c r="M16" i="16"/>
  <c r="L16" i="16"/>
  <c r="K16" i="16"/>
  <c r="J16" i="16"/>
  <c r="I16" i="16"/>
  <c r="H16" i="16"/>
  <c r="G16" i="16"/>
  <c r="F16" i="16"/>
  <c r="E16" i="16"/>
  <c r="D16" i="16"/>
  <c r="K25" i="10" l="1"/>
  <c r="M3" i="19" l="1"/>
  <c r="L3" i="19"/>
  <c r="K3" i="19"/>
  <c r="J3" i="19"/>
  <c r="I3" i="19"/>
  <c r="H3" i="19"/>
  <c r="G3" i="19"/>
  <c r="F3" i="19"/>
  <c r="E3" i="19"/>
  <c r="D3" i="19"/>
  <c r="M2" i="19"/>
  <c r="L2" i="19"/>
  <c r="K2" i="19"/>
  <c r="J2" i="19"/>
  <c r="I2" i="19"/>
  <c r="H2" i="19"/>
  <c r="G2" i="19"/>
  <c r="F2" i="19"/>
  <c r="E2" i="19"/>
  <c r="D2" i="19"/>
  <c r="M3" i="21" l="1"/>
  <c r="L3" i="21"/>
  <c r="K3" i="21"/>
  <c r="J3" i="21"/>
  <c r="I3" i="21"/>
  <c r="H3" i="21"/>
  <c r="G3" i="21"/>
  <c r="F3" i="21"/>
  <c r="E3" i="21"/>
  <c r="D3" i="21"/>
  <c r="M2" i="21"/>
  <c r="L2" i="21"/>
  <c r="K2" i="21"/>
  <c r="J2" i="21"/>
  <c r="I2" i="21"/>
  <c r="H2" i="21"/>
  <c r="G2" i="21"/>
  <c r="F2" i="21"/>
  <c r="E2" i="21"/>
  <c r="D2" i="21"/>
  <c r="A170" i="19"/>
  <c r="A169" i="19"/>
  <c r="A86" i="10"/>
  <c r="A100" i="21"/>
  <c r="A99" i="21"/>
  <c r="A267" i="21"/>
  <c r="A268" i="21"/>
  <c r="A263" i="21"/>
  <c r="A262" i="21"/>
  <c r="G22" i="22"/>
  <c r="H22" i="22"/>
  <c r="I22" i="22"/>
  <c r="J22" i="22"/>
  <c r="K22" i="22"/>
  <c r="L22" i="22"/>
  <c r="M22" i="22"/>
  <c r="N22" i="22"/>
  <c r="F22" i="22"/>
  <c r="E22" i="22"/>
  <c r="G21" i="22"/>
  <c r="H21" i="22"/>
  <c r="I21" i="22"/>
  <c r="J21" i="22"/>
  <c r="K21" i="22"/>
  <c r="L21" i="22"/>
  <c r="M21" i="22"/>
  <c r="N21" i="22"/>
  <c r="F21" i="22"/>
  <c r="E21" i="22"/>
  <c r="F23" i="22"/>
  <c r="G23" i="22"/>
  <c r="H23" i="22"/>
  <c r="I23" i="22"/>
  <c r="J23" i="22"/>
  <c r="K23" i="22"/>
  <c r="L23" i="22"/>
  <c r="M23" i="22"/>
  <c r="N23" i="22"/>
  <c r="E23" i="22"/>
  <c r="N14" i="22"/>
  <c r="N15" i="22"/>
  <c r="N16" i="22"/>
  <c r="N17" i="22"/>
  <c r="N18" i="22"/>
  <c r="N19" i="22"/>
  <c r="N20" i="22"/>
  <c r="M14" i="22"/>
  <c r="M15" i="22"/>
  <c r="M16" i="22"/>
  <c r="M17" i="22"/>
  <c r="M18" i="22"/>
  <c r="M19" i="22"/>
  <c r="M20" i="22"/>
  <c r="L14" i="22"/>
  <c r="L15" i="22"/>
  <c r="L16" i="22"/>
  <c r="L17" i="22"/>
  <c r="L18" i="22"/>
  <c r="L19" i="22"/>
  <c r="L20" i="22"/>
  <c r="K14" i="22"/>
  <c r="K15" i="22"/>
  <c r="K16" i="22"/>
  <c r="K17" i="22"/>
  <c r="K18" i="22"/>
  <c r="K19" i="22"/>
  <c r="K20" i="22"/>
  <c r="J14" i="22"/>
  <c r="J15" i="22"/>
  <c r="J16" i="22"/>
  <c r="J17" i="22"/>
  <c r="J18" i="22"/>
  <c r="J19" i="22"/>
  <c r="J20" i="22"/>
  <c r="I14" i="22"/>
  <c r="I15" i="22"/>
  <c r="I16" i="22"/>
  <c r="I17" i="22"/>
  <c r="I18" i="22"/>
  <c r="I19" i="22"/>
  <c r="I20" i="22"/>
  <c r="H14" i="22"/>
  <c r="H15" i="22"/>
  <c r="H16" i="22"/>
  <c r="H17" i="22"/>
  <c r="H18" i="22"/>
  <c r="H19" i="22"/>
  <c r="H20" i="22"/>
  <c r="G14" i="22"/>
  <c r="G15" i="22"/>
  <c r="G16" i="22"/>
  <c r="G17" i="22"/>
  <c r="G18" i="22"/>
  <c r="G19" i="22"/>
  <c r="G20" i="22"/>
  <c r="F14" i="22"/>
  <c r="F15" i="22"/>
  <c r="F16" i="22"/>
  <c r="F17" i="22"/>
  <c r="F18" i="22"/>
  <c r="F19" i="22"/>
  <c r="F20" i="22"/>
  <c r="E20" i="22"/>
  <c r="E19" i="22"/>
  <c r="E18" i="22"/>
  <c r="E17" i="22"/>
  <c r="E16" i="22"/>
  <c r="E15" i="22"/>
  <c r="E14" i="22"/>
  <c r="F13" i="22"/>
  <c r="G13" i="22"/>
  <c r="H13" i="22"/>
  <c r="I13" i="22"/>
  <c r="J13" i="22"/>
  <c r="K13" i="22"/>
  <c r="L13" i="22"/>
  <c r="M13" i="22"/>
  <c r="N13" i="22"/>
  <c r="G12" i="22"/>
  <c r="H12" i="22"/>
  <c r="I12" i="22"/>
  <c r="J12" i="22"/>
  <c r="K12" i="22"/>
  <c r="L12" i="22"/>
  <c r="M12" i="22"/>
  <c r="N12" i="22"/>
  <c r="F12" i="22"/>
  <c r="E13" i="22"/>
  <c r="E12" i="22"/>
  <c r="D21" i="21"/>
  <c r="N5" i="22" l="1"/>
  <c r="L5" i="22"/>
  <c r="J5" i="22"/>
  <c r="H4" i="22"/>
  <c r="F4" i="22"/>
  <c r="G4" i="22"/>
  <c r="M4" i="22"/>
  <c r="K4" i="22"/>
  <c r="I4" i="22"/>
  <c r="E4" i="22"/>
  <c r="E5" i="22"/>
  <c r="H5" i="22"/>
  <c r="F5" i="22"/>
  <c r="I5" i="22"/>
  <c r="G5" i="22"/>
  <c r="N4" i="22"/>
  <c r="M5" i="22"/>
  <c r="L4" i="22"/>
  <c r="K5" i="22"/>
  <c r="J4" i="22"/>
  <c r="A272" i="21"/>
  <c r="A271" i="21"/>
  <c r="A281" i="21"/>
  <c r="A269" i="21"/>
  <c r="A264" i="21"/>
  <c r="A279" i="21"/>
  <c r="A278" i="21"/>
  <c r="A277" i="21"/>
  <c r="A259" i="21"/>
  <c r="A258" i="21"/>
  <c r="A256" i="21"/>
  <c r="A255" i="21"/>
  <c r="A254" i="21"/>
  <c r="A253" i="21"/>
  <c r="A252" i="21"/>
  <c r="A251" i="21"/>
  <c r="A250" i="21"/>
  <c r="A249" i="21"/>
  <c r="A248" i="21"/>
  <c r="A247" i="21"/>
  <c r="A246" i="21"/>
  <c r="A245" i="21"/>
  <c r="A243" i="21"/>
  <c r="A242" i="21"/>
  <c r="A240" i="21"/>
  <c r="A239" i="21"/>
  <c r="A238" i="21"/>
  <c r="A237" i="21"/>
  <c r="A236" i="21"/>
  <c r="A235" i="21"/>
  <c r="A234" i="21"/>
  <c r="A233" i="21"/>
  <c r="A232" i="21"/>
  <c r="A231" i="21"/>
  <c r="A230" i="21"/>
  <c r="A229" i="21"/>
  <c r="A228" i="21"/>
  <c r="A226" i="21"/>
  <c r="A224" i="21"/>
  <c r="A223" i="21"/>
  <c r="A222" i="21"/>
  <c r="A221" i="21"/>
  <c r="A220" i="21"/>
  <c r="A219" i="21"/>
  <c r="A218" i="21"/>
  <c r="A217" i="21"/>
  <c r="A216" i="21"/>
  <c r="A215" i="21"/>
  <c r="A214" i="21"/>
  <c r="A213" i="21"/>
  <c r="A212" i="21"/>
  <c r="A211" i="21"/>
  <c r="A210" i="21"/>
  <c r="A209" i="21"/>
  <c r="A208" i="21"/>
  <c r="A207" i="21"/>
  <c r="A200" i="21"/>
  <c r="A199" i="21"/>
  <c r="A198" i="21"/>
  <c r="A194" i="21"/>
  <c r="A193" i="21"/>
  <c r="A192" i="21"/>
  <c r="A191" i="21"/>
  <c r="A190" i="21"/>
  <c r="A189" i="21"/>
  <c r="A188" i="21"/>
  <c r="A187" i="21"/>
  <c r="A186" i="21"/>
  <c r="A185" i="21"/>
  <c r="A184" i="21"/>
  <c r="A183" i="21"/>
  <c r="A182" i="21"/>
  <c r="A181" i="21"/>
  <c r="A180" i="21"/>
  <c r="A179" i="21"/>
  <c r="A178" i="21"/>
  <c r="A177" i="21"/>
  <c r="A176" i="21"/>
  <c r="A175" i="21"/>
  <c r="A174" i="21"/>
  <c r="A173" i="21"/>
  <c r="A172" i="21"/>
  <c r="A171" i="21"/>
  <c r="A170" i="21"/>
  <c r="A169" i="21"/>
  <c r="A168" i="21"/>
  <c r="A167" i="21"/>
  <c r="A166" i="21"/>
  <c r="A165" i="21"/>
  <c r="A164" i="21"/>
  <c r="A163" i="21"/>
  <c r="A162" i="21"/>
  <c r="A161" i="21"/>
  <c r="A160" i="21"/>
  <c r="A159" i="21"/>
  <c r="A158" i="21"/>
  <c r="A157" i="21"/>
  <c r="A156" i="21"/>
  <c r="A155" i="21"/>
  <c r="A154" i="21"/>
  <c r="A153" i="21"/>
  <c r="A152" i="21"/>
  <c r="A151" i="21"/>
  <c r="A150" i="21"/>
  <c r="A149" i="21"/>
  <c r="A147" i="21"/>
  <c r="A146" i="21"/>
  <c r="A145" i="21"/>
  <c r="A144" i="21"/>
  <c r="A143" i="21"/>
  <c r="A141" i="21"/>
  <c r="A138" i="21"/>
  <c r="A137" i="21"/>
  <c r="A136" i="21"/>
  <c r="A135" i="21"/>
  <c r="A134" i="21"/>
  <c r="A129" i="21"/>
  <c r="A128" i="21"/>
  <c r="A127" i="21"/>
  <c r="A126" i="21"/>
  <c r="A125" i="21"/>
  <c r="A123" i="21"/>
  <c r="A120" i="21"/>
  <c r="A119" i="21"/>
  <c r="A118" i="21"/>
  <c r="A117" i="21"/>
  <c r="A116" i="21"/>
  <c r="A111" i="21"/>
  <c r="A110" i="21"/>
  <c r="A109" i="21"/>
  <c r="A108" i="21"/>
  <c r="A107" i="21"/>
  <c r="A105" i="21"/>
  <c r="A102" i="21"/>
  <c r="A98" i="21"/>
  <c r="A97" i="21"/>
  <c r="A96" i="21"/>
  <c r="A95" i="21"/>
  <c r="A94" i="21"/>
  <c r="A93" i="21"/>
  <c r="A92" i="21"/>
  <c r="A91" i="21"/>
  <c r="A90" i="21"/>
  <c r="A89" i="21"/>
  <c r="A88" i="21"/>
  <c r="A87" i="21"/>
  <c r="A86" i="21"/>
  <c r="A85" i="21"/>
  <c r="A84" i="21"/>
  <c r="A83" i="21"/>
  <c r="A82" i="21"/>
  <c r="A81" i="21"/>
  <c r="A80" i="21"/>
  <c r="A79" i="21"/>
  <c r="A78" i="21"/>
  <c r="A77" i="21"/>
  <c r="A76" i="21"/>
  <c r="A75" i="21"/>
  <c r="A74" i="21"/>
  <c r="A73" i="21"/>
  <c r="A72" i="21"/>
  <c r="A71" i="21"/>
  <c r="A70" i="21"/>
  <c r="A69" i="21"/>
  <c r="A68" i="21"/>
  <c r="A67" i="21"/>
  <c r="A66" i="21"/>
  <c r="A65" i="21"/>
  <c r="A64" i="21"/>
  <c r="A63" i="21"/>
  <c r="A62" i="21"/>
  <c r="A61" i="21"/>
  <c r="A60" i="21"/>
  <c r="A59" i="21"/>
  <c r="A58" i="21"/>
  <c r="A57" i="21"/>
  <c r="U58" i="21"/>
  <c r="A56" i="21"/>
  <c r="U57" i="21"/>
  <c r="A55" i="21"/>
  <c r="U56" i="21"/>
  <c r="A54" i="21"/>
  <c r="U55" i="21"/>
  <c r="A53" i="21"/>
  <c r="U54" i="21"/>
  <c r="A52" i="21"/>
  <c r="U53" i="21"/>
  <c r="A51" i="21"/>
  <c r="U52" i="21"/>
  <c r="A50" i="21"/>
  <c r="U51" i="21"/>
  <c r="A49" i="21"/>
  <c r="U50" i="21"/>
  <c r="A48" i="21"/>
  <c r="U49" i="21"/>
  <c r="A47" i="21"/>
  <c r="U48" i="21"/>
  <c r="A46" i="21"/>
  <c r="U47" i="21"/>
  <c r="U46" i="21"/>
  <c r="U45" i="21"/>
  <c r="A43" i="21"/>
  <c r="U44" i="21"/>
  <c r="U43" i="21"/>
  <c r="U42" i="21"/>
  <c r="U41" i="21"/>
  <c r="U40" i="21"/>
  <c r="U39" i="21"/>
  <c r="U38" i="21"/>
  <c r="U37" i="21"/>
  <c r="U36" i="21"/>
  <c r="U35" i="21"/>
  <c r="U34" i="21"/>
  <c r="U33" i="21"/>
  <c r="U32" i="21"/>
  <c r="U31" i="21"/>
  <c r="U30" i="21"/>
  <c r="U29" i="21"/>
  <c r="I29" i="21"/>
  <c r="U28" i="21"/>
  <c r="I28" i="21"/>
  <c r="U27" i="21"/>
  <c r="H27" i="21"/>
  <c r="E27" i="21"/>
  <c r="B27" i="21"/>
  <c r="U26" i="21"/>
  <c r="U25" i="21"/>
  <c r="U24" i="21"/>
  <c r="U23" i="21"/>
  <c r="U22" i="21"/>
  <c r="U21" i="21"/>
  <c r="E21" i="21"/>
  <c r="D22" i="21"/>
  <c r="U20" i="21"/>
  <c r="U19" i="21"/>
  <c r="U18" i="21"/>
  <c r="U17" i="21"/>
  <c r="U16" i="21"/>
  <c r="U15" i="21"/>
  <c r="U14" i="21"/>
  <c r="U13" i="21"/>
  <c r="U12" i="21"/>
  <c r="U11" i="21"/>
  <c r="U10" i="21"/>
  <c r="U9" i="21"/>
  <c r="U8" i="21"/>
  <c r="U7" i="21"/>
  <c r="M6" i="21"/>
  <c r="L6" i="21"/>
  <c r="K6" i="21"/>
  <c r="J6" i="21"/>
  <c r="I6" i="21"/>
  <c r="H6" i="21"/>
  <c r="G6" i="21"/>
  <c r="F6" i="21"/>
  <c r="E6" i="21"/>
  <c r="D6" i="21"/>
  <c r="A274" i="21"/>
  <c r="M20" i="21"/>
  <c r="K20" i="21"/>
  <c r="I20" i="21"/>
  <c r="A133" i="21"/>
  <c r="G20" i="21"/>
  <c r="A131" i="21"/>
  <c r="A139" i="21"/>
  <c r="E3" i="22" l="1"/>
  <c r="I3" i="22"/>
  <c r="F2" i="22"/>
  <c r="N2" i="22"/>
  <c r="H3" i="22"/>
  <c r="J2" i="22"/>
  <c r="L2" i="22"/>
  <c r="N3" i="22"/>
  <c r="I2" i="22"/>
  <c r="G2" i="22"/>
  <c r="F3" i="22"/>
  <c r="H2" i="22"/>
  <c r="G3" i="22"/>
  <c r="E2" i="22"/>
  <c r="K2" i="22"/>
  <c r="M3" i="22"/>
  <c r="K3" i="22"/>
  <c r="M2" i="22"/>
  <c r="J3" i="22"/>
  <c r="L3" i="22"/>
  <c r="A106" i="21"/>
  <c r="A115" i="21"/>
  <c r="A142" i="21"/>
  <c r="A124" i="21"/>
  <c r="A114" i="21"/>
  <c r="A132" i="21"/>
  <c r="A275" i="21"/>
  <c r="D7" i="21"/>
  <c r="F7" i="21"/>
  <c r="H7" i="21"/>
  <c r="J7" i="21"/>
  <c r="L7" i="21"/>
  <c r="D16" i="21"/>
  <c r="F16" i="21"/>
  <c r="H16" i="21"/>
  <c r="F28" i="21" s="1"/>
  <c r="J16" i="21"/>
  <c r="L16" i="21"/>
  <c r="F17" i="21"/>
  <c r="H17" i="21"/>
  <c r="F29" i="21" s="1"/>
  <c r="J17" i="21"/>
  <c r="L17" i="21"/>
  <c r="P17" i="21"/>
  <c r="F18" i="21"/>
  <c r="H18" i="21"/>
  <c r="J18" i="21"/>
  <c r="L18" i="21"/>
  <c r="P18" i="21"/>
  <c r="F19" i="21"/>
  <c r="H19" i="21"/>
  <c r="J19" i="21"/>
  <c r="L19" i="21"/>
  <c r="P19" i="21"/>
  <c r="F20" i="21"/>
  <c r="H20" i="21"/>
  <c r="J20" i="21"/>
  <c r="L20" i="21"/>
  <c r="P20" i="21"/>
  <c r="A104" i="21"/>
  <c r="A112" i="21"/>
  <c r="A122" i="21"/>
  <c r="A130" i="21"/>
  <c r="A140" i="21"/>
  <c r="E7" i="21"/>
  <c r="G7" i="21"/>
  <c r="I7" i="21"/>
  <c r="K7" i="21"/>
  <c r="M7" i="21"/>
  <c r="E16" i="21"/>
  <c r="G16" i="21"/>
  <c r="I16" i="21"/>
  <c r="K16" i="21"/>
  <c r="M16" i="21"/>
  <c r="E17" i="21"/>
  <c r="G17" i="21"/>
  <c r="I17" i="21"/>
  <c r="K17" i="21"/>
  <c r="M17" i="21"/>
  <c r="E18" i="21"/>
  <c r="G18" i="21"/>
  <c r="I18" i="21"/>
  <c r="K18" i="21"/>
  <c r="M18" i="21"/>
  <c r="E19" i="21"/>
  <c r="G19" i="21"/>
  <c r="I19" i="21"/>
  <c r="K19" i="21"/>
  <c r="M19" i="21"/>
  <c r="E20" i="21"/>
  <c r="A103" i="21"/>
  <c r="A113" i="21"/>
  <c r="A121" i="21"/>
  <c r="C28" i="21" l="1"/>
  <c r="C29" i="21"/>
  <c r="A40" i="21"/>
  <c r="P16" i="21"/>
  <c r="V58" i="21" l="1"/>
  <c r="V56" i="21"/>
  <c r="V54" i="21"/>
  <c r="V52" i="21"/>
  <c r="V50" i="21"/>
  <c r="V48" i="21"/>
  <c r="V44" i="21"/>
  <c r="V43" i="21"/>
  <c r="V42" i="21"/>
  <c r="V28" i="21"/>
  <c r="V26" i="21"/>
  <c r="V25" i="21"/>
  <c r="V24" i="21"/>
  <c r="V23" i="21"/>
  <c r="V22" i="21"/>
  <c r="V15" i="21"/>
  <c r="V14" i="21"/>
  <c r="V12" i="21"/>
  <c r="V11" i="21"/>
  <c r="V10" i="21"/>
  <c r="V9" i="21"/>
  <c r="V7" i="21"/>
  <c r="V57" i="21"/>
  <c r="V55" i="21"/>
  <c r="V53" i="21"/>
  <c r="V51" i="21"/>
  <c r="V49" i="21"/>
  <c r="V47" i="21"/>
  <c r="V46" i="21"/>
  <c r="V45" i="21"/>
  <c r="V41" i="21"/>
  <c r="V40" i="21"/>
  <c r="V39" i="21"/>
  <c r="V38" i="21"/>
  <c r="V37" i="21"/>
  <c r="V36" i="21"/>
  <c r="V35" i="21"/>
  <c r="V34" i="21"/>
  <c r="V33" i="21"/>
  <c r="V32" i="21"/>
  <c r="V31" i="21"/>
  <c r="V30" i="21"/>
  <c r="V29" i="21"/>
  <c r="V27" i="21"/>
  <c r="V21" i="21"/>
  <c r="V20" i="21"/>
  <c r="V19" i="21"/>
  <c r="V18" i="21"/>
  <c r="V17" i="21"/>
  <c r="V16" i="21"/>
  <c r="V13" i="21"/>
  <c r="V8" i="21"/>
  <c r="C9" i="21" l="1"/>
  <c r="C8" i="21"/>
  <c r="M8" i="21" l="1"/>
  <c r="K8" i="21"/>
  <c r="I8" i="21"/>
  <c r="G8" i="21"/>
  <c r="E8" i="21"/>
  <c r="J8" i="21"/>
  <c r="F8" i="21"/>
  <c r="H8" i="21"/>
  <c r="L8" i="21"/>
  <c r="D8" i="21"/>
  <c r="D9" i="21"/>
  <c r="H9" i="21"/>
  <c r="L9" i="21"/>
  <c r="G9" i="21"/>
  <c r="K9" i="21"/>
  <c r="F9" i="21"/>
  <c r="J9" i="21"/>
  <c r="E9" i="21"/>
  <c r="I9" i="21"/>
  <c r="M9" i="21"/>
  <c r="D11" i="21" l="1"/>
  <c r="J11" i="21"/>
  <c r="K11" i="21"/>
  <c r="H11" i="21"/>
  <c r="G11" i="21"/>
  <c r="L11" i="21"/>
  <c r="F11" i="21"/>
  <c r="E11" i="21"/>
  <c r="I11" i="21"/>
  <c r="M11" i="21"/>
  <c r="H21" i="19" l="1"/>
  <c r="E21" i="19"/>
  <c r="H25" i="10"/>
  <c r="E25" i="10"/>
  <c r="B25" i="10"/>
  <c r="B21" i="19"/>
  <c r="A320" i="19" l="1"/>
  <c r="A319" i="19"/>
  <c r="A318" i="19"/>
  <c r="A317" i="19"/>
  <c r="A316" i="19"/>
  <c r="A314" i="19"/>
  <c r="A313" i="19"/>
  <c r="A312" i="19"/>
  <c r="A306" i="19"/>
  <c r="A305" i="19"/>
  <c r="A303" i="19"/>
  <c r="A302" i="19"/>
  <c r="A301" i="19"/>
  <c r="A300" i="19"/>
  <c r="A299" i="19"/>
  <c r="A298" i="19"/>
  <c r="A297" i="19"/>
  <c r="A296" i="19"/>
  <c r="A295" i="19"/>
  <c r="A294" i="19"/>
  <c r="A293" i="19"/>
  <c r="A291" i="19"/>
  <c r="A290" i="19"/>
  <c r="A289" i="19"/>
  <c r="A288" i="19"/>
  <c r="A287" i="19"/>
  <c r="A286" i="19"/>
  <c r="A285" i="19"/>
  <c r="A284" i="19"/>
  <c r="A283" i="19"/>
  <c r="A282" i="19"/>
  <c r="A281" i="19"/>
  <c r="A280" i="19"/>
  <c r="A279" i="19"/>
  <c r="A278" i="19"/>
  <c r="A277" i="19"/>
  <c r="A276" i="19"/>
  <c r="A275" i="19"/>
  <c r="A274" i="19"/>
  <c r="A273" i="19"/>
  <c r="A272" i="19"/>
  <c r="A271" i="19"/>
  <c r="A270" i="19"/>
  <c r="A269" i="19"/>
  <c r="A268" i="19"/>
  <c r="A267" i="19"/>
  <c r="A266" i="19"/>
  <c r="A265" i="19"/>
  <c r="A264" i="19"/>
  <c r="A235" i="19"/>
  <c r="A233" i="19"/>
  <c r="A232" i="19"/>
  <c r="A231" i="19"/>
  <c r="A230" i="19"/>
  <c r="A229" i="19"/>
  <c r="A228" i="19"/>
  <c r="A227" i="19"/>
  <c r="A226" i="19"/>
  <c r="A225" i="19"/>
  <c r="A224" i="19"/>
  <c r="A223" i="19"/>
  <c r="A221" i="19"/>
  <c r="A220" i="19"/>
  <c r="A219" i="19"/>
  <c r="A217" i="19"/>
  <c r="A216" i="19"/>
  <c r="A215" i="19"/>
  <c r="A214" i="19"/>
  <c r="A213" i="19"/>
  <c r="A212" i="19"/>
  <c r="A211" i="19"/>
  <c r="A210" i="19"/>
  <c r="A209" i="19"/>
  <c r="A208" i="19"/>
  <c r="A207" i="19"/>
  <c r="A206" i="19"/>
  <c r="A205" i="19"/>
  <c r="A204" i="19"/>
  <c r="A203" i="19"/>
  <c r="A202" i="19"/>
  <c r="A201" i="19"/>
  <c r="A200" i="19"/>
  <c r="A199" i="19"/>
  <c r="A198" i="19"/>
  <c r="A197" i="19"/>
  <c r="A196" i="19"/>
  <c r="A195" i="19"/>
  <c r="A194" i="19"/>
  <c r="A193" i="19"/>
  <c r="A192" i="19"/>
  <c r="A191" i="19"/>
  <c r="A190" i="19"/>
  <c r="A189" i="19"/>
  <c r="A188" i="19"/>
  <c r="A187" i="19"/>
  <c r="A186" i="19"/>
  <c r="A182" i="19"/>
  <c r="A181" i="19"/>
  <c r="A180" i="19"/>
  <c r="A179" i="19"/>
  <c r="A178" i="19"/>
  <c r="A176" i="19"/>
  <c r="A175" i="19"/>
  <c r="A174" i="19"/>
  <c r="A168" i="19"/>
  <c r="A167" i="19"/>
  <c r="A165" i="19"/>
  <c r="A164" i="19"/>
  <c r="A163" i="19"/>
  <c r="A162" i="19"/>
  <c r="A161" i="19"/>
  <c r="A160" i="19"/>
  <c r="A159" i="19"/>
  <c r="A158" i="19"/>
  <c r="A157" i="19"/>
  <c r="A156" i="19"/>
  <c r="A155" i="19"/>
  <c r="A153" i="19"/>
  <c r="A152" i="19"/>
  <c r="A151" i="19"/>
  <c r="A150" i="19"/>
  <c r="A149" i="19"/>
  <c r="A148" i="19"/>
  <c r="A147" i="19"/>
  <c r="A146" i="19"/>
  <c r="A145" i="19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A127" i="19"/>
  <c r="A126" i="19"/>
  <c r="A97" i="19"/>
  <c r="A85" i="19"/>
  <c r="A82" i="19"/>
  <c r="A80" i="19"/>
  <c r="A79" i="19"/>
  <c r="A78" i="19"/>
  <c r="A76" i="19"/>
  <c r="A75" i="19"/>
  <c r="A74" i="19"/>
  <c r="A73" i="19"/>
  <c r="A72" i="19"/>
  <c r="A71" i="19"/>
  <c r="A70" i="19"/>
  <c r="A69" i="19"/>
  <c r="A68" i="19"/>
  <c r="A67" i="19"/>
  <c r="A66" i="19"/>
  <c r="A65" i="19"/>
  <c r="A64" i="19"/>
  <c r="A63" i="19"/>
  <c r="U58" i="19"/>
  <c r="A62" i="19"/>
  <c r="U57" i="19"/>
  <c r="A61" i="19"/>
  <c r="U56" i="19"/>
  <c r="A60" i="19"/>
  <c r="U55" i="19"/>
  <c r="A59" i="19"/>
  <c r="U54" i="19"/>
  <c r="A58" i="19"/>
  <c r="U53" i="19"/>
  <c r="A57" i="19"/>
  <c r="U52" i="19"/>
  <c r="A56" i="19"/>
  <c r="U51" i="19"/>
  <c r="A55" i="19"/>
  <c r="U50" i="19"/>
  <c r="A54" i="19"/>
  <c r="U49" i="19"/>
  <c r="A53" i="19"/>
  <c r="U48" i="19"/>
  <c r="A52" i="19"/>
  <c r="U47" i="19"/>
  <c r="A51" i="19"/>
  <c r="U46" i="19"/>
  <c r="A50" i="19"/>
  <c r="U45" i="19"/>
  <c r="A49" i="19"/>
  <c r="U44" i="19"/>
  <c r="A48" i="19"/>
  <c r="U43" i="19"/>
  <c r="A47" i="19"/>
  <c r="U42" i="19"/>
  <c r="A46" i="19"/>
  <c r="U41" i="19"/>
  <c r="A45" i="19"/>
  <c r="U40" i="19"/>
  <c r="U39" i="19"/>
  <c r="U38" i="19"/>
  <c r="A42" i="19"/>
  <c r="U37" i="19"/>
  <c r="U36" i="19"/>
  <c r="U35" i="19"/>
  <c r="A39" i="19"/>
  <c r="U34" i="19"/>
  <c r="U33" i="19"/>
  <c r="U32" i="19"/>
  <c r="U31" i="19"/>
  <c r="U30" i="19"/>
  <c r="U29" i="19"/>
  <c r="U28" i="19"/>
  <c r="U27" i="19"/>
  <c r="U26" i="19"/>
  <c r="U25" i="19"/>
  <c r="U24" i="19"/>
  <c r="U23" i="19"/>
  <c r="U22" i="19"/>
  <c r="U21" i="19"/>
  <c r="U20" i="19"/>
  <c r="U19" i="19"/>
  <c r="U18" i="19"/>
  <c r="U17" i="19"/>
  <c r="U16" i="19"/>
  <c r="U15" i="19"/>
  <c r="U14" i="19"/>
  <c r="U13" i="19"/>
  <c r="U12" i="19"/>
  <c r="U11" i="19"/>
  <c r="U10" i="19"/>
  <c r="U9" i="19"/>
  <c r="U8" i="19"/>
  <c r="U7" i="19"/>
  <c r="M6" i="19"/>
  <c r="L6" i="19"/>
  <c r="K6" i="19"/>
  <c r="J6" i="19"/>
  <c r="I6" i="19"/>
  <c r="H6" i="19"/>
  <c r="G6" i="19"/>
  <c r="F6" i="19"/>
  <c r="E6" i="19"/>
  <c r="D6" i="19"/>
  <c r="H17" i="19" l="1"/>
  <c r="A257" i="19"/>
  <c r="A119" i="19"/>
  <c r="A248" i="19"/>
  <c r="A110" i="19"/>
  <c r="A94" i="19"/>
  <c r="A261" i="19"/>
  <c r="A123" i="19"/>
  <c r="A252" i="19"/>
  <c r="A114" i="19"/>
  <c r="F17" i="19"/>
  <c r="A255" i="19"/>
  <c r="A117" i="19"/>
  <c r="A246" i="19"/>
  <c r="A108" i="19"/>
  <c r="A92" i="19"/>
  <c r="A259" i="19"/>
  <c r="A121" i="19"/>
  <c r="A250" i="19"/>
  <c r="A112" i="19"/>
  <c r="A245" i="19"/>
  <c r="A107" i="19"/>
  <c r="A254" i="19"/>
  <c r="A116" i="19"/>
  <c r="A247" i="19"/>
  <c r="A109" i="19"/>
  <c r="A256" i="19"/>
  <c r="A118" i="19"/>
  <c r="A249" i="19"/>
  <c r="A111" i="19"/>
  <c r="A258" i="19"/>
  <c r="A120" i="19"/>
  <c r="A251" i="19"/>
  <c r="A113" i="19"/>
  <c r="A260" i="19"/>
  <c r="A122" i="19"/>
  <c r="A253" i="19"/>
  <c r="A115" i="19"/>
  <c r="A262" i="19"/>
  <c r="A124" i="19"/>
  <c r="A310" i="19"/>
  <c r="A95" i="19"/>
  <c r="A106" i="19"/>
  <c r="A244" i="19"/>
  <c r="A105" i="19"/>
  <c r="A243" i="19"/>
  <c r="L17" i="19"/>
  <c r="A93" i="19"/>
  <c r="A104" i="19"/>
  <c r="A242" i="19"/>
  <c r="J17" i="19"/>
  <c r="A103" i="19"/>
  <c r="A241" i="19"/>
  <c r="A91" i="19"/>
  <c r="A102" i="19"/>
  <c r="A240" i="19"/>
  <c r="I19" i="19"/>
  <c r="K19" i="19"/>
  <c r="M19" i="19"/>
  <c r="H18" i="19"/>
  <c r="L18" i="19"/>
  <c r="H19" i="19"/>
  <c r="L19" i="19"/>
  <c r="A237" i="19"/>
  <c r="A239" i="19"/>
  <c r="A172" i="19"/>
  <c r="D17" i="19"/>
  <c r="F18" i="19"/>
  <c r="E23" i="19" s="1"/>
  <c r="J18" i="19"/>
  <c r="P18" i="19"/>
  <c r="F19" i="19"/>
  <c r="J19" i="19"/>
  <c r="P19" i="19"/>
  <c r="A171" i="19"/>
  <c r="A236" i="19"/>
  <c r="A238" i="19"/>
  <c r="A309" i="19"/>
  <c r="E7" i="19"/>
  <c r="G7" i="19"/>
  <c r="I7" i="19"/>
  <c r="K7" i="19"/>
  <c r="M7" i="19"/>
  <c r="P17" i="19"/>
  <c r="A87" i="19"/>
  <c r="A89" i="19"/>
  <c r="A98" i="19"/>
  <c r="A100" i="19"/>
  <c r="D7" i="19"/>
  <c r="F7" i="19"/>
  <c r="H7" i="19"/>
  <c r="J7" i="19"/>
  <c r="L7" i="19"/>
  <c r="E17" i="19"/>
  <c r="G17" i="19"/>
  <c r="I17" i="19"/>
  <c r="K17" i="19"/>
  <c r="M17" i="19"/>
  <c r="E18" i="19"/>
  <c r="G18" i="19"/>
  <c r="I18" i="19"/>
  <c r="K18" i="19"/>
  <c r="M18" i="19"/>
  <c r="E19" i="19"/>
  <c r="G19" i="19"/>
  <c r="A83" i="19"/>
  <c r="A86" i="19"/>
  <c r="A88" i="19"/>
  <c r="A90" i="19"/>
  <c r="A99" i="19"/>
  <c r="A101" i="19"/>
  <c r="B22" i="19" l="1"/>
  <c r="H22" i="19"/>
  <c r="B23" i="19"/>
  <c r="H23" i="19"/>
  <c r="E22" i="19"/>
  <c r="A30" i="19"/>
  <c r="V58" i="19"/>
  <c r="C8" i="19" s="1"/>
  <c r="V56" i="19"/>
  <c r="V54" i="19"/>
  <c r="V52" i="19"/>
  <c r="V50" i="19"/>
  <c r="V48" i="19"/>
  <c r="V46" i="19"/>
  <c r="V44" i="19"/>
  <c r="V42" i="19"/>
  <c r="V40" i="19"/>
  <c r="V39" i="19"/>
  <c r="V38" i="19"/>
  <c r="V34" i="19"/>
  <c r="V33" i="19"/>
  <c r="V32" i="19"/>
  <c r="V29" i="19"/>
  <c r="V28" i="19"/>
  <c r="V27" i="19"/>
  <c r="V26" i="19"/>
  <c r="V22" i="19"/>
  <c r="V16" i="19"/>
  <c r="V15" i="19"/>
  <c r="V14" i="19"/>
  <c r="V13" i="19"/>
  <c r="V12" i="19"/>
  <c r="V11" i="19"/>
  <c r="V10" i="19"/>
  <c r="V8" i="19"/>
  <c r="V57" i="19"/>
  <c r="V55" i="19"/>
  <c r="V53" i="19"/>
  <c r="V51" i="19"/>
  <c r="V49" i="19"/>
  <c r="V47" i="19"/>
  <c r="V45" i="19"/>
  <c r="V43" i="19"/>
  <c r="V41" i="19"/>
  <c r="V37" i="19"/>
  <c r="V36" i="19"/>
  <c r="V35" i="19"/>
  <c r="V31" i="19"/>
  <c r="V30" i="19"/>
  <c r="V25" i="19"/>
  <c r="V24" i="19"/>
  <c r="V23" i="19"/>
  <c r="V21" i="19"/>
  <c r="V20" i="19"/>
  <c r="V19" i="19"/>
  <c r="V18" i="19"/>
  <c r="V17" i="19"/>
  <c r="V9" i="19"/>
  <c r="V7" i="19"/>
  <c r="A36" i="19"/>
  <c r="L8" i="19" l="1"/>
  <c r="J8" i="19"/>
  <c r="H8" i="19"/>
  <c r="F8" i="19"/>
  <c r="D8" i="19"/>
  <c r="G8" i="19"/>
  <c r="K8" i="19"/>
  <c r="E8" i="19"/>
  <c r="I8" i="19"/>
  <c r="M8" i="19"/>
  <c r="C10" i="19"/>
  <c r="C9" i="19"/>
  <c r="A34" i="19" l="1"/>
  <c r="L10" i="19"/>
  <c r="J10" i="19"/>
  <c r="H10" i="19"/>
  <c r="F10" i="19"/>
  <c r="D10" i="19"/>
  <c r="G10" i="19"/>
  <c r="K10" i="19"/>
  <c r="E10" i="19"/>
  <c r="I10" i="19"/>
  <c r="M10" i="19"/>
  <c r="L9" i="19"/>
  <c r="L12" i="19" s="1"/>
  <c r="G9" i="19"/>
  <c r="K9" i="19"/>
  <c r="D9" i="19"/>
  <c r="H9" i="19"/>
  <c r="J9" i="19"/>
  <c r="E9" i="19"/>
  <c r="I9" i="19"/>
  <c r="M9" i="19"/>
  <c r="F9" i="19"/>
  <c r="F12" i="19" s="1"/>
  <c r="G12" i="19" l="1"/>
  <c r="J12" i="19"/>
  <c r="H12" i="19"/>
  <c r="K12" i="19"/>
  <c r="M12" i="19"/>
  <c r="E12" i="19"/>
  <c r="I12" i="19"/>
  <c r="D12" i="19"/>
  <c r="A173" i="10" l="1"/>
  <c r="A164" i="10"/>
  <c r="A172" i="10"/>
  <c r="A171" i="10"/>
  <c r="A170" i="10"/>
  <c r="A162" i="10"/>
  <c r="A161" i="10"/>
  <c r="A160" i="10"/>
  <c r="A159" i="10"/>
  <c r="A158" i="10"/>
  <c r="A157" i="10"/>
  <c r="A156" i="10"/>
  <c r="A155" i="10"/>
  <c r="A154" i="10"/>
  <c r="A153" i="10"/>
  <c r="A152" i="10"/>
  <c r="A150" i="10"/>
  <c r="A151" i="10"/>
  <c r="A149" i="10"/>
  <c r="A148" i="10"/>
  <c r="A147" i="10"/>
  <c r="A146" i="10"/>
  <c r="A145" i="10"/>
  <c r="A144" i="10"/>
  <c r="A143" i="10"/>
  <c r="A142" i="10"/>
  <c r="A141" i="10"/>
  <c r="A140" i="10"/>
  <c r="A139" i="10"/>
  <c r="A138" i="10"/>
  <c r="A137" i="10"/>
  <c r="A136" i="10"/>
  <c r="A135" i="10"/>
  <c r="A134" i="10"/>
  <c r="A133" i="10"/>
  <c r="A132" i="10"/>
  <c r="A131" i="10"/>
  <c r="A130" i="10"/>
  <c r="A129" i="10"/>
  <c r="A128" i="10"/>
  <c r="A127" i="10"/>
  <c r="A85" i="10" l="1"/>
  <c r="A84" i="10"/>
  <c r="A83" i="10"/>
  <c r="A82" i="10"/>
  <c r="A81" i="10"/>
  <c r="A80" i="10"/>
  <c r="A79" i="10"/>
  <c r="A78" i="10"/>
  <c r="A77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62" i="10"/>
  <c r="A61" i="10"/>
  <c r="A60" i="10"/>
  <c r="A59" i="10"/>
  <c r="A58" i="10"/>
  <c r="A57" i="10"/>
  <c r="A56" i="10"/>
  <c r="A55" i="10"/>
  <c r="A54" i="10"/>
  <c r="A53" i="10"/>
  <c r="A52" i="10"/>
  <c r="A51" i="10"/>
  <c r="A50" i="10"/>
  <c r="A49" i="10"/>
  <c r="A48" i="10"/>
  <c r="A47" i="10"/>
  <c r="A46" i="10"/>
  <c r="A44" i="10"/>
  <c r="A43" i="10"/>
  <c r="E19" i="10"/>
  <c r="P18" i="10"/>
  <c r="I6" i="10"/>
  <c r="J6" i="10"/>
  <c r="K6" i="10"/>
  <c r="L6" i="10"/>
  <c r="M6" i="10"/>
  <c r="E11" i="16"/>
  <c r="F11" i="16"/>
  <c r="G11" i="16"/>
  <c r="H11" i="16"/>
  <c r="I11" i="16"/>
  <c r="J11" i="16"/>
  <c r="K11" i="16"/>
  <c r="L11" i="16"/>
  <c r="M11" i="16"/>
  <c r="E12" i="16"/>
  <c r="F12" i="16"/>
  <c r="G12" i="16"/>
  <c r="H12" i="16"/>
  <c r="I12" i="16"/>
  <c r="J12" i="16"/>
  <c r="K12" i="16"/>
  <c r="L12" i="16"/>
  <c r="M12" i="16"/>
  <c r="D12" i="16"/>
  <c r="D11" i="16"/>
  <c r="M7" i="16"/>
  <c r="M6" i="16"/>
  <c r="L7" i="16"/>
  <c r="L6" i="16"/>
  <c r="K7" i="16"/>
  <c r="K6" i="16"/>
  <c r="J7" i="16"/>
  <c r="J6" i="16"/>
  <c r="I6" i="16"/>
  <c r="I7" i="16"/>
  <c r="H7" i="16"/>
  <c r="H6" i="16"/>
  <c r="G7" i="16"/>
  <c r="G6" i="16"/>
  <c r="F7" i="16"/>
  <c r="F6" i="16"/>
  <c r="E7" i="16"/>
  <c r="E6" i="16"/>
  <c r="D7" i="16"/>
  <c r="D6" i="16"/>
  <c r="A117" i="10" l="1"/>
  <c r="A108" i="10"/>
  <c r="A99" i="10"/>
  <c r="H19" i="10"/>
  <c r="A119" i="10"/>
  <c r="A110" i="10"/>
  <c r="A101" i="10"/>
  <c r="A92" i="10"/>
  <c r="A168" i="10"/>
  <c r="A167" i="10"/>
  <c r="A121" i="10"/>
  <c r="A123" i="10"/>
  <c r="F17" i="10"/>
  <c r="E18" i="10"/>
  <c r="P17" i="10"/>
  <c r="P19" i="10"/>
  <c r="A90" i="10"/>
  <c r="A116" i="10"/>
  <c r="A107" i="10"/>
  <c r="A98" i="10"/>
  <c r="G19" i="10"/>
  <c r="A118" i="10"/>
  <c r="A109" i="10"/>
  <c r="A100" i="10"/>
  <c r="A91" i="10"/>
  <c r="A120" i="10"/>
  <c r="A122" i="10"/>
  <c r="A124" i="10"/>
  <c r="E17" i="10"/>
  <c r="F18" i="10"/>
  <c r="F19" i="10"/>
  <c r="A89" i="10"/>
  <c r="I17" i="10"/>
  <c r="A102" i="10"/>
  <c r="A111" i="10"/>
  <c r="A93" i="10"/>
  <c r="J18" i="10"/>
  <c r="A103" i="10"/>
  <c r="A112" i="10"/>
  <c r="A94" i="10"/>
  <c r="K19" i="10"/>
  <c r="A104" i="10"/>
  <c r="A113" i="10"/>
  <c r="A95" i="10"/>
  <c r="L17" i="10"/>
  <c r="A105" i="10"/>
  <c r="A96" i="10"/>
  <c r="A114" i="10"/>
  <c r="M18" i="10"/>
  <c r="A106" i="10"/>
  <c r="A115" i="10"/>
  <c r="A97" i="10"/>
  <c r="M16" i="10"/>
  <c r="M19" i="10"/>
  <c r="M17" i="10"/>
  <c r="L18" i="10"/>
  <c r="L19" i="10"/>
  <c r="L16" i="10"/>
  <c r="J16" i="10"/>
  <c r="J19" i="10"/>
  <c r="J17" i="10"/>
  <c r="I18" i="10"/>
  <c r="I19" i="10"/>
  <c r="I16" i="10"/>
  <c r="K17" i="10"/>
  <c r="K18" i="10"/>
  <c r="K16" i="10"/>
  <c r="H17" i="10"/>
  <c r="H18" i="10"/>
  <c r="G17" i="10"/>
  <c r="G18" i="10"/>
  <c r="M7" i="10"/>
  <c r="K7" i="10"/>
  <c r="I7" i="10"/>
  <c r="L7" i="10"/>
  <c r="J7" i="10"/>
  <c r="L28" i="10" l="1"/>
  <c r="L26" i="10"/>
  <c r="E29" i="10"/>
  <c r="L27" i="10"/>
  <c r="L29" i="10"/>
  <c r="I27" i="10"/>
  <c r="B27" i="10"/>
  <c r="I26" i="10"/>
  <c r="E27" i="10"/>
  <c r="F6" i="10"/>
  <c r="G6" i="10"/>
  <c r="H6" i="10"/>
  <c r="D6" i="10"/>
  <c r="Z48" i="10" l="1"/>
  <c r="Z47" i="10"/>
  <c r="Z46" i="10"/>
  <c r="Z45" i="10"/>
  <c r="Z44" i="10"/>
  <c r="Z43" i="10"/>
  <c r="A126" i="10"/>
  <c r="A88" i="10"/>
  <c r="Z42" i="10"/>
  <c r="Z41" i="10"/>
  <c r="Z40" i="10"/>
  <c r="Z39" i="10"/>
  <c r="Z38" i="10"/>
  <c r="Z37" i="10"/>
  <c r="Z36" i="10"/>
  <c r="Z35" i="10"/>
  <c r="Z34" i="10"/>
  <c r="Z33" i="10"/>
  <c r="Z32" i="10"/>
  <c r="Z31" i="10"/>
  <c r="A45" i="10"/>
  <c r="Z30" i="10"/>
  <c r="Z29" i="10"/>
  <c r="Z28" i="10"/>
  <c r="Z27" i="10"/>
  <c r="A40" i="10"/>
  <c r="Z26" i="10"/>
  <c r="Z25" i="10"/>
  <c r="Z24" i="10"/>
  <c r="Z23" i="10"/>
  <c r="Z22" i="10"/>
  <c r="Z21" i="10"/>
  <c r="Z20" i="10"/>
  <c r="Z19" i="10"/>
  <c r="Z18" i="10"/>
  <c r="Z17" i="10"/>
  <c r="Z16" i="10"/>
  <c r="H16" i="10"/>
  <c r="G16" i="10"/>
  <c r="F16" i="10"/>
  <c r="E16" i="10"/>
  <c r="D16" i="10"/>
  <c r="Z15" i="10"/>
  <c r="Z14" i="10"/>
  <c r="Z13" i="10"/>
  <c r="Z12" i="10"/>
  <c r="Z11" i="10"/>
  <c r="Z10" i="10"/>
  <c r="Z9" i="10"/>
  <c r="H7" i="10"/>
  <c r="G7" i="10"/>
  <c r="F7" i="10"/>
  <c r="E7" i="10"/>
  <c r="D7" i="10"/>
  <c r="E28" i="10" l="1"/>
  <c r="B26" i="10"/>
  <c r="E26" i="10"/>
  <c r="A37" i="10"/>
  <c r="B23" i="10"/>
  <c r="P16" i="10"/>
  <c r="F23" i="10"/>
  <c r="AA14" i="10" l="1"/>
  <c r="AA16" i="10"/>
  <c r="AA18" i="10"/>
  <c r="AA20" i="10"/>
  <c r="AA22" i="10"/>
  <c r="AA25" i="10"/>
  <c r="AA27" i="10"/>
  <c r="AA29" i="10"/>
  <c r="AA31" i="10"/>
  <c r="AA33" i="10"/>
  <c r="AA35" i="10"/>
  <c r="AA37" i="10"/>
  <c r="AA39" i="10"/>
  <c r="AA41" i="10"/>
  <c r="AA43" i="10"/>
  <c r="AA45" i="10"/>
  <c r="AA47" i="10"/>
  <c r="AA10" i="10"/>
  <c r="AA12" i="10"/>
  <c r="AA13" i="10"/>
  <c r="AA15" i="10"/>
  <c r="AA17" i="10"/>
  <c r="AA19" i="10"/>
  <c r="AA21" i="10"/>
  <c r="AA23" i="10"/>
  <c r="AA24" i="10"/>
  <c r="AA26" i="10"/>
  <c r="AA28" i="10"/>
  <c r="AA30" i="10"/>
  <c r="AA32" i="10"/>
  <c r="AA34" i="10"/>
  <c r="AA36" i="10"/>
  <c r="AA38" i="10"/>
  <c r="AA40" i="10"/>
  <c r="AA42" i="10"/>
  <c r="AA44" i="10"/>
  <c r="AA46" i="10"/>
  <c r="AA48" i="10"/>
  <c r="AA11" i="10"/>
  <c r="AA9" i="10"/>
  <c r="C9" i="10" l="1"/>
  <c r="C8" i="10"/>
  <c r="M8" i="10" l="1"/>
  <c r="H8" i="10"/>
  <c r="J8" i="10"/>
  <c r="I8" i="10"/>
  <c r="L8" i="10"/>
  <c r="K8" i="10"/>
  <c r="D8" i="10"/>
  <c r="F8" i="10"/>
  <c r="E8" i="10"/>
  <c r="G8" i="10"/>
  <c r="E9" i="10"/>
  <c r="H9" i="10"/>
  <c r="J9" i="10"/>
  <c r="I9" i="10"/>
  <c r="D9" i="10"/>
  <c r="L9" i="10"/>
  <c r="K9" i="10"/>
  <c r="F9" i="10"/>
  <c r="M9" i="10"/>
  <c r="G9" i="10"/>
  <c r="K11" i="10" l="1"/>
  <c r="G11" i="10"/>
  <c r="F11" i="10"/>
  <c r="I11" i="10"/>
  <c r="H11" i="10"/>
  <c r="E11" i="10"/>
  <c r="D11" i="10"/>
  <c r="L11" i="10"/>
  <c r="J11" i="10"/>
  <c r="M11" i="10"/>
</calcChain>
</file>

<file path=xl/sharedStrings.xml><?xml version="1.0" encoding="utf-8"?>
<sst xmlns="http://schemas.openxmlformats.org/spreadsheetml/2006/main" count="276" uniqueCount="127">
  <si>
    <t>N0</t>
  </si>
  <si>
    <t>N01</t>
  </si>
  <si>
    <t>Create private catalog GRIN</t>
  </si>
  <si>
    <t>step size</t>
  </si>
  <si>
    <t>Create private catalog homogeneous material</t>
  </si>
  <si>
    <t>Vary gradient coefficients</t>
  </si>
  <si>
    <t>rmax</t>
  </si>
  <si>
    <t>r</t>
  </si>
  <si>
    <t>N10</t>
  </si>
  <si>
    <t>N20</t>
  </si>
  <si>
    <t>Creat Optimization Constraints</t>
  </si>
  <si>
    <t>Create Optimization Constraints For Adding GRIN to Front Surface of Element</t>
  </si>
  <si>
    <t>For GRIN on front surface</t>
  </si>
  <si>
    <t>For GRIN on back surface</t>
  </si>
  <si>
    <t>Thickness</t>
  </si>
  <si>
    <t>yes</t>
  </si>
  <si>
    <t>Vary Coefficient?
(yes or no)</t>
  </si>
  <si>
    <t>N30</t>
  </si>
  <si>
    <t>Refractive Index</t>
  </si>
  <si>
    <t>Maximum</t>
  </si>
  <si>
    <t>Minimum</t>
  </si>
  <si>
    <t>At r = 0</t>
  </si>
  <si>
    <t>Input initial GRIN profile</t>
  </si>
  <si>
    <t>N02</t>
  </si>
  <si>
    <t>At z = 0</t>
  </si>
  <si>
    <t>Gradient depth</t>
  </si>
  <si>
    <t>|Δn|</t>
  </si>
  <si>
    <t>Vary homogeneous index</t>
  </si>
  <si>
    <t>Material Data:</t>
  </si>
  <si>
    <t>Wavelength (um)</t>
  </si>
  <si>
    <t>Calculate first-order properties based on input thickness</t>
  </si>
  <si>
    <t>C0</t>
  </si>
  <si>
    <t>C10</t>
  </si>
  <si>
    <t>C20</t>
  </si>
  <si>
    <t>C30</t>
  </si>
  <si>
    <t>EFL =</t>
  </si>
  <si>
    <t>ZnS/ZnSe</t>
  </si>
  <si>
    <t>ALON (N2 model)</t>
  </si>
  <si>
    <t>Note: Concentration range of 0 to 1 has been made in homogeneous samples</t>
  </si>
  <si>
    <t>But concentration range of (-1.64,1.57) has been made in GRIN samples</t>
  </si>
  <si>
    <t>Enter the desired wavelengths (in microns) in descending order</t>
  </si>
  <si>
    <t>Chromatic properties of GRIN created from different material combinations</t>
  </si>
  <si>
    <t>Enter 0 for any wavelengths that you do not wish to use</t>
  </si>
  <si>
    <t>Concentration Profile</t>
  </si>
  <si>
    <t>Minimum
concentration</t>
  </si>
  <si>
    <t>Maximum
concentration</t>
  </si>
  <si>
    <t>Constrain concentration to be within these manufacturable limits</t>
  </si>
  <si>
    <t>Should be (0,1) for all real materials, and ALON can safely be pushed to (-1.64,1.57)</t>
  </si>
  <si>
    <t>concentration</t>
  </si>
  <si>
    <t>Concentration</t>
  </si>
  <si>
    <t>V0 =</t>
  </si>
  <si>
    <t>V10 =</t>
  </si>
  <si>
    <t>Minimum Concentration</t>
  </si>
  <si>
    <t>Maximum Concentration</t>
  </si>
  <si>
    <t>Distance from GRIN surface vertex to homogeneous component (&gt; 0 for front surface GRIN, &lt; 0 for back surface GRIN)</t>
  </si>
  <si>
    <t>At z = GRIN depth</t>
  </si>
  <si>
    <t>z</t>
  </si>
  <si>
    <t>Dispersion</t>
  </si>
  <si>
    <t>VGRIN =</t>
  </si>
  <si>
    <r>
      <t xml:space="preserve">At </t>
    </r>
    <r>
      <rPr>
        <sz val="11"/>
        <color theme="1"/>
        <rFont val="Calibri"/>
        <family val="2"/>
      </rPr>
      <t>ρ</t>
    </r>
    <r>
      <rPr>
        <sz val="11"/>
        <color theme="1"/>
        <rFont val="Calibri"/>
        <family val="2"/>
        <scheme val="minor"/>
      </rPr>
      <t xml:space="preserve"> = 0</t>
    </r>
  </si>
  <si>
    <r>
      <t>n</t>
    </r>
    <r>
      <rPr>
        <vertAlign val="subscript"/>
        <sz val="11"/>
        <color theme="1"/>
        <rFont val="Calibri"/>
        <family val="2"/>
        <scheme val="minor"/>
      </rPr>
      <t>0</t>
    </r>
  </si>
  <si>
    <r>
      <t>n</t>
    </r>
    <r>
      <rPr>
        <vertAlign val="subscript"/>
        <sz val="11"/>
        <color theme="1"/>
        <rFont val="Calibri"/>
        <family val="2"/>
        <scheme val="minor"/>
      </rPr>
      <t>1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</si>
  <si>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</si>
  <si>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3</t>
    </r>
  </si>
  <si>
    <r>
      <t>n</t>
    </r>
    <r>
      <rPr>
        <vertAlign val="subscript"/>
        <sz val="11"/>
        <color theme="1"/>
        <rFont val="Calibri"/>
        <family val="2"/>
        <scheme val="minor"/>
      </rPr>
      <t>4</t>
    </r>
  </si>
  <si>
    <t>! Constrain center of isoindicial surfaces to be same for all wavelengths</t>
  </si>
  <si>
    <t>! Constrain edge of surface 1</t>
  </si>
  <si>
    <t>! Constrain edge of surface 2</t>
  </si>
  <si>
    <t>Use the following commands for user defined gradient (UDG) in CodeV (requires .dll)</t>
  </si>
  <si>
    <t>! These constraints can be removed if the GRIN center of curvature (C5) is positioned well outside of the lens and is not allowed to vary</t>
  </si>
  <si>
    <t>C1</t>
  </si>
  <si>
    <t>C2</t>
  </si>
  <si>
    <t>C3</t>
  </si>
  <si>
    <t>C4</t>
  </si>
  <si>
    <t>! Constrain center of isoindicial surfaces to be outside of lens. @grnCoCtol is the closest the center of curvature can get to the lens surfaces.</t>
  </si>
  <si>
    <t>c (GRIN CoC)</t>
  </si>
  <si>
    <t>n1</t>
  </si>
  <si>
    <t>n2</t>
  </si>
  <si>
    <t>n2-n1</t>
  </si>
  <si>
    <t>Doped ALON (N2 model)</t>
  </si>
  <si>
    <t>ZnSe</t>
  </si>
  <si>
    <t>ZnS</t>
  </si>
  <si>
    <t>Material 1</t>
  </si>
  <si>
    <t>Material 2</t>
  </si>
  <si>
    <t>IRG22</t>
  </si>
  <si>
    <t>IRG23</t>
  </si>
  <si>
    <t>IRG24</t>
  </si>
  <si>
    <t>IRG25</t>
  </si>
  <si>
    <t>IRG26</t>
  </si>
  <si>
    <t>Temp (deg C)</t>
  </si>
  <si>
    <t>NRL1</t>
  </si>
  <si>
    <t>NRL13</t>
  </si>
  <si>
    <t>NRL23</t>
  </si>
  <si>
    <r>
      <t xml:space="preserve">Select Material 1 and 2 from dropdown list. Copy and </t>
    </r>
    <r>
      <rPr>
        <b/>
        <sz val="11"/>
        <color theme="1"/>
        <rFont val="Calibri"/>
        <family val="2"/>
        <scheme val="minor"/>
      </rPr>
      <t>PASTE VALUE</t>
    </r>
    <r>
      <rPr>
        <sz val="11"/>
        <color theme="1"/>
        <rFont val="Calibri"/>
        <family val="2"/>
        <scheme val="minor"/>
      </rPr>
      <t xml:space="preserve"> cells (D1:N3) into the appropriate GRIN sheet.
If you need to use different wavelengths you will need to change them in this sheet and copy/paste value again.</t>
    </r>
  </si>
  <si>
    <t>Insert Homogeneous Materials Below:
Use Same Format as Existing Materials</t>
  </si>
  <si>
    <t>n = (n2-n1)*(Concentration) + n1</t>
  </si>
  <si>
    <r>
      <t>r</t>
    </r>
    <r>
      <rPr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 (1/c)</t>
    </r>
  </si>
  <si>
    <t>Element ID</t>
  </si>
  <si>
    <t>Note: Can't be more than 4 characters</t>
  </si>
  <si>
    <t>P0 =</t>
  </si>
  <si>
    <t>P10 =</t>
  </si>
  <si>
    <t>TiSi Glass Homogeneous Dispersion Measurements: Fit:  0.406 - 1.577 microns (Anthony Visconti)</t>
  </si>
  <si>
    <t>TiSi Glass (High Index)</t>
  </si>
  <si>
    <t>TiSi Glass (Low Index)</t>
  </si>
  <si>
    <t>Min possible |EFL| =</t>
  </si>
  <si>
    <t>mat16</t>
  </si>
  <si>
    <t>mat15</t>
  </si>
  <si>
    <t>no</t>
  </si>
  <si>
    <t>mat</t>
  </si>
  <si>
    <t>Measured 0.436 to 1.064 microns by James Corsetti and Anthony Visconti, April 2014</t>
  </si>
  <si>
    <t>PMMA-Polystyrene (Univ. Rochester)</t>
  </si>
  <si>
    <t>Titania Silicate Glass (Univ. Rochester)</t>
  </si>
  <si>
    <t>PMMA (Univ. Rochester)</t>
  </si>
  <si>
    <t>Polystyrene (Univ. Rochester)</t>
  </si>
  <si>
    <t>n = m*(Concentration) + b</t>
  </si>
  <si>
    <t>bn</t>
  </si>
  <si>
    <t>cn</t>
  </si>
  <si>
    <t>dn</t>
  </si>
  <si>
    <t>N40</t>
  </si>
  <si>
    <t>Yes</t>
  </si>
  <si>
    <t>C40</t>
  </si>
  <si>
    <t>en</t>
  </si>
  <si>
    <t>C01</t>
  </si>
  <si>
    <t>R</t>
  </si>
  <si>
    <t>Min possible EFL =</t>
  </si>
  <si>
    <t>Element #</t>
  </si>
  <si>
    <t>! Correlation of coefficients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</si>
</sst>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E+00"/>
    <numFmt numFmtId="165" formatCode="0.0000"/>
    <numFmt numFmtId="166" formatCode="0.0000E+00"/>
    <numFmt numFmtId="167" formatCode="0.000000E+00"/>
    <numFmt numFmtId="168" formatCode="0.0000000000"/>
    <numFmt numFmtId="169" formatCode="0.000000"/>
    <numFmt numFmtId="170" formatCode="0.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name val="Arial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8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Border="1"/>
    <xf numFmtId="0" fontId="2" fillId="0" borderId="0" xfId="0" applyFont="1"/>
    <xf numFmtId="0" fontId="1" fillId="0" borderId="0" xfId="0" applyFont="1" applyBorder="1"/>
    <xf numFmtId="11" fontId="1" fillId="0" borderId="0" xfId="0" applyNumberFormat="1" applyFont="1" applyBorder="1"/>
    <xf numFmtId="164" fontId="0" fillId="0" borderId="0" xfId="0" applyNumberFormat="1"/>
    <xf numFmtId="0" fontId="0" fillId="0" borderId="0" xfId="0" applyAlignment="1">
      <alignment horizontal="center" wrapText="1"/>
    </xf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1" xfId="0" applyBorder="1"/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2" xfId="0" applyBorder="1"/>
    <xf numFmtId="0" fontId="4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/>
    <xf numFmtId="0" fontId="0" fillId="2" borderId="3" xfId="0" applyFill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0" xfId="0" applyNumberFormat="1"/>
    <xf numFmtId="0" fontId="1" fillId="0" borderId="0" xfId="0" applyFont="1" applyFill="1" applyBorder="1"/>
    <xf numFmtId="0" fontId="0" fillId="0" borderId="4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/>
    <xf numFmtId="11" fontId="0" fillId="0" borderId="0" xfId="0" applyNumberFormat="1"/>
    <xf numFmtId="0" fontId="0" fillId="4" borderId="0" xfId="0" applyFill="1"/>
    <xf numFmtId="11" fontId="0" fillId="0" borderId="0" xfId="0" applyNumberForma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0" fillId="0" borderId="0" xfId="0" applyFill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1" fillId="0" borderId="0" xfId="0" applyFont="1" applyFill="1" applyBorder="1" applyAlignment="1">
      <alignment horizontal="center"/>
    </xf>
    <xf numFmtId="166" fontId="0" fillId="0" borderId="0" xfId="0" applyNumberFormat="1" applyFill="1" applyBorder="1"/>
    <xf numFmtId="0" fontId="0" fillId="0" borderId="0" xfId="0" applyFill="1" applyBorder="1"/>
    <xf numFmtId="0" fontId="0" fillId="0" borderId="1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11" fontId="0" fillId="2" borderId="3" xfId="0" applyNumberFormat="1" applyFill="1" applyBorder="1"/>
    <xf numFmtId="166" fontId="0" fillId="0" borderId="2" xfId="0" applyNumberFormat="1" applyBorder="1" applyAlignment="1">
      <alignment horizontal="center"/>
    </xf>
    <xf numFmtId="167" fontId="0" fillId="0" borderId="0" xfId="0" applyNumberFormat="1"/>
    <xf numFmtId="166" fontId="0" fillId="0" borderId="0" xfId="0" applyNumberFormat="1" applyBorder="1"/>
    <xf numFmtId="166" fontId="6" fillId="0" borderId="0" xfId="0" applyNumberFormat="1" applyFont="1"/>
    <xf numFmtId="0" fontId="0" fillId="0" borderId="0" xfId="0" applyNumberFormat="1" applyFill="1" applyBorder="1"/>
    <xf numFmtId="168" fontId="0" fillId="0" borderId="0" xfId="0" applyNumberFormat="1"/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/>
    <xf numFmtId="169" fontId="0" fillId="0" borderId="0" xfId="0" applyNumberFormat="1" applyFill="1" applyBorder="1"/>
    <xf numFmtId="0" fontId="0" fillId="0" borderId="0" xfId="0" applyFill="1"/>
    <xf numFmtId="0" fontId="7" fillId="0" borderId="0" xfId="0" applyFont="1" applyAlignment="1">
      <alignment wrapText="1"/>
    </xf>
    <xf numFmtId="0" fontId="0" fillId="0" borderId="0" xfId="0" applyFill="1" applyAlignment="1">
      <alignment wrapText="1"/>
    </xf>
    <xf numFmtId="0" fontId="0" fillId="5" borderId="12" xfId="0" applyFill="1" applyBorder="1"/>
    <xf numFmtId="0" fontId="0" fillId="5" borderId="13" xfId="0" applyFill="1" applyBorder="1"/>
    <xf numFmtId="0" fontId="0" fillId="5" borderId="14" xfId="0" applyFill="1" applyBorder="1"/>
    <xf numFmtId="0" fontId="0" fillId="0" borderId="0" xfId="0" applyFont="1" applyFill="1" applyBorder="1"/>
    <xf numFmtId="165" fontId="0" fillId="2" borderId="9" xfId="0" applyNumberFormat="1" applyFill="1" applyBorder="1"/>
    <xf numFmtId="170" fontId="0" fillId="0" borderId="0" xfId="0" applyNumberFormat="1" applyFill="1" applyAlignment="1">
      <alignment vertical="center"/>
    </xf>
    <xf numFmtId="170" fontId="0" fillId="0" borderId="0" xfId="0" applyNumberFormat="1" applyFill="1"/>
    <xf numFmtId="170" fontId="0" fillId="0" borderId="0" xfId="0" applyNumberFormat="1"/>
    <xf numFmtId="169" fontId="0" fillId="0" borderId="0" xfId="0" applyNumberFormat="1" applyFill="1" applyAlignment="1">
      <alignment vertical="center"/>
    </xf>
    <xf numFmtId="169" fontId="0" fillId="0" borderId="0" xfId="0" applyNumberFormat="1" applyFill="1"/>
    <xf numFmtId="169" fontId="0" fillId="0" borderId="0" xfId="0" applyNumberFormat="1"/>
    <xf numFmtId="0" fontId="8" fillId="0" borderId="0" xfId="0" applyFont="1" applyAlignment="1"/>
    <xf numFmtId="0" fontId="0" fillId="0" borderId="15" xfId="0" applyBorder="1"/>
    <xf numFmtId="0" fontId="0" fillId="0" borderId="1" xfId="0" applyFill="1" applyBorder="1"/>
    <xf numFmtId="0" fontId="2" fillId="7" borderId="0" xfId="0" applyFont="1" applyFill="1" applyBorder="1"/>
    <xf numFmtId="0" fontId="1" fillId="2" borderId="17" xfId="0" applyFont="1" applyFill="1" applyBorder="1" applyAlignment="1">
      <alignment horizontal="center"/>
    </xf>
    <xf numFmtId="166" fontId="0" fillId="2" borderId="16" xfId="0" applyNumberFormat="1" applyFill="1" applyBorder="1"/>
    <xf numFmtId="0" fontId="1" fillId="2" borderId="12" xfId="0" applyFont="1" applyFill="1" applyBorder="1" applyAlignment="1">
      <alignment horizontal="center"/>
    </xf>
    <xf numFmtId="170" fontId="0" fillId="0" borderId="0" xfId="0" applyNumberFormat="1" applyBorder="1"/>
    <xf numFmtId="170" fontId="0" fillId="2" borderId="3" xfId="0" applyNumberFormat="1" applyFill="1" applyBorder="1"/>
    <xf numFmtId="170" fontId="0" fillId="2" borderId="9" xfId="0" applyNumberFormat="1" applyFill="1" applyBorder="1"/>
    <xf numFmtId="170" fontId="0" fillId="2" borderId="16" xfId="0" applyNumberFormat="1" applyFill="1" applyBorder="1"/>
    <xf numFmtId="170" fontId="0" fillId="0" borderId="3" xfId="0" applyNumberFormat="1" applyFill="1" applyBorder="1"/>
    <xf numFmtId="170" fontId="0" fillId="0" borderId="18" xfId="0" applyNumberFormat="1" applyFill="1" applyBorder="1"/>
    <xf numFmtId="170" fontId="0" fillId="0" borderId="16" xfId="0" applyNumberFormat="1" applyFill="1" applyBorder="1"/>
    <xf numFmtId="0" fontId="9" fillId="0" borderId="0" xfId="0" applyFont="1" applyBorder="1" applyAlignment="1">
      <alignment horizontal="center" vertical="center" wrapText="1"/>
    </xf>
    <xf numFmtId="0" fontId="0" fillId="6" borderId="0" xfId="0" applyFill="1" applyAlignment="1">
      <alignment horizontal="center" wrapText="1"/>
    </xf>
    <xf numFmtId="0" fontId="1" fillId="0" borderId="0" xfId="0" applyFont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Concentration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'Radial GRIN Controls'!$Z$9:$Z$75</c:f>
              <c:numCache>
                <c:formatCode>General</c:formatCode>
                <c:ptCount val="67"/>
                <c:pt idx="0">
                  <c:v>0</c:v>
                </c:pt>
                <c:pt idx="1">
                  <c:v>0.24509803921568626</c:v>
                </c:pt>
                <c:pt idx="2">
                  <c:v>0.49019607843137253</c:v>
                </c:pt>
                <c:pt idx="3">
                  <c:v>0.73529411764705888</c:v>
                </c:pt>
                <c:pt idx="4">
                  <c:v>0.98039215686274506</c:v>
                </c:pt>
                <c:pt idx="5">
                  <c:v>1.2254901960784315</c:v>
                </c:pt>
                <c:pt idx="6">
                  <c:v>1.4705882352941178</c:v>
                </c:pt>
                <c:pt idx="7">
                  <c:v>1.7156862745098038</c:v>
                </c:pt>
                <c:pt idx="8">
                  <c:v>1.9607843137254901</c:v>
                </c:pt>
                <c:pt idx="9">
                  <c:v>2.2058823529411766</c:v>
                </c:pt>
                <c:pt idx="10">
                  <c:v>2.4509803921568629</c:v>
                </c:pt>
                <c:pt idx="11">
                  <c:v>2.6960784313725492</c:v>
                </c:pt>
                <c:pt idx="12">
                  <c:v>2.9411764705882355</c:v>
                </c:pt>
                <c:pt idx="13">
                  <c:v>3.1862745098039214</c:v>
                </c:pt>
                <c:pt idx="14">
                  <c:v>3.4313725490196076</c:v>
                </c:pt>
                <c:pt idx="15">
                  <c:v>5.3921568627450984</c:v>
                </c:pt>
                <c:pt idx="16">
                  <c:v>5.6372549019607847</c:v>
                </c:pt>
                <c:pt idx="17">
                  <c:v>5.882352941176471</c:v>
                </c:pt>
                <c:pt idx="18">
                  <c:v>6.1274509803921573</c:v>
                </c:pt>
                <c:pt idx="19">
                  <c:v>7.1078431372549016</c:v>
                </c:pt>
                <c:pt idx="20">
                  <c:v>7.3529411764705879</c:v>
                </c:pt>
                <c:pt idx="21">
                  <c:v>7.5980392156862742</c:v>
                </c:pt>
                <c:pt idx="22">
                  <c:v>7.8431372549019605</c:v>
                </c:pt>
                <c:pt idx="23">
                  <c:v>8.5784313725490193</c:v>
                </c:pt>
                <c:pt idx="24">
                  <c:v>8.8235294117647065</c:v>
                </c:pt>
                <c:pt idx="25">
                  <c:v>9.0686274509803919</c:v>
                </c:pt>
                <c:pt idx="26">
                  <c:v>9.3137254901960791</c:v>
                </c:pt>
                <c:pt idx="27">
                  <c:v>9.5588235294117645</c:v>
                </c:pt>
                <c:pt idx="28">
                  <c:v>9.8039215686274517</c:v>
                </c:pt>
                <c:pt idx="29">
                  <c:v>10.049019607843137</c:v>
                </c:pt>
                <c:pt idx="30">
                  <c:v>10.294117647058824</c:v>
                </c:pt>
                <c:pt idx="31">
                  <c:v>10.53921568627451</c:v>
                </c:pt>
                <c:pt idx="32">
                  <c:v>10.784313725490197</c:v>
                </c:pt>
                <c:pt idx="33">
                  <c:v>11.029411764705882</c:v>
                </c:pt>
                <c:pt idx="34">
                  <c:v>11.274509803921569</c:v>
                </c:pt>
                <c:pt idx="35">
                  <c:v>11.519607843137255</c:v>
                </c:pt>
                <c:pt idx="36">
                  <c:v>11.764705882352942</c:v>
                </c:pt>
                <c:pt idx="37">
                  <c:v>12.009803921568627</c:v>
                </c:pt>
                <c:pt idx="38">
                  <c:v>12.254901960784315</c:v>
                </c:pt>
                <c:pt idx="39">
                  <c:v>12.5</c:v>
                </c:pt>
              </c:numCache>
            </c:numRef>
          </c:xVal>
          <c:yVal>
            <c:numRef>
              <c:f>'Radial GRIN Controls'!$AA$9:$AA$75</c:f>
              <c:numCache>
                <c:formatCode>General</c:formatCode>
                <c:ptCount val="67"/>
                <c:pt idx="0">
                  <c:v>0</c:v>
                </c:pt>
                <c:pt idx="1">
                  <c:v>9.2061063835243383E-4</c:v>
                </c:pt>
                <c:pt idx="2">
                  <c:v>3.6824425534097353E-3</c:v>
                </c:pt>
                <c:pt idx="3">
                  <c:v>8.2854957451719072E-3</c:v>
                </c:pt>
                <c:pt idx="4">
                  <c:v>1.4729770213638941E-2</c:v>
                </c:pt>
                <c:pt idx="5">
                  <c:v>2.301526595881085E-2</c:v>
                </c:pt>
                <c:pt idx="6">
                  <c:v>3.3141982980687629E-2</c:v>
                </c:pt>
                <c:pt idx="7">
                  <c:v>4.5109921279269251E-2</c:v>
                </c:pt>
                <c:pt idx="8">
                  <c:v>5.8919080854555765E-2</c:v>
                </c:pt>
                <c:pt idx="9">
                  <c:v>7.4569461706547158E-2</c:v>
                </c:pt>
                <c:pt idx="10">
                  <c:v>9.2061063835243401E-2</c:v>
                </c:pt>
                <c:pt idx="11">
                  <c:v>0.11139388724064452</c:v>
                </c:pt>
                <c:pt idx="12">
                  <c:v>0.13256793192275051</c:v>
                </c:pt>
                <c:pt idx="13">
                  <c:v>0.1555831978815613</c:v>
                </c:pt>
                <c:pt idx="14">
                  <c:v>0.180439685117077</c:v>
                </c:pt>
                <c:pt idx="15">
                  <c:v>0.44557554896257806</c:v>
                </c:pt>
                <c:pt idx="16">
                  <c:v>0.48700302768843762</c:v>
                </c:pt>
                <c:pt idx="17">
                  <c:v>0.53027172769100206</c:v>
                </c:pt>
                <c:pt idx="18">
                  <c:v>0.57538164897027133</c:v>
                </c:pt>
                <c:pt idx="19">
                  <c:v>0.77423354685439683</c:v>
                </c:pt>
                <c:pt idx="20">
                  <c:v>0.82854957451719036</c:v>
                </c:pt>
                <c:pt idx="21">
                  <c:v>0.88470682345668883</c:v>
                </c:pt>
                <c:pt idx="22">
                  <c:v>0.94270529367289224</c:v>
                </c:pt>
                <c:pt idx="23">
                  <c:v>1.1277480319817312</c:v>
                </c:pt>
                <c:pt idx="24">
                  <c:v>1.1931113873047545</c:v>
                </c:pt>
                <c:pt idx="25">
                  <c:v>1.2603159639044819</c:v>
                </c:pt>
                <c:pt idx="26">
                  <c:v>1.3293617617809146</c:v>
                </c:pt>
                <c:pt idx="27">
                  <c:v>1.4002487809340518</c:v>
                </c:pt>
                <c:pt idx="28">
                  <c:v>1.4729770213638944</c:v>
                </c:pt>
                <c:pt idx="29">
                  <c:v>1.5475464830704413</c:v>
                </c:pt>
                <c:pt idx="30">
                  <c:v>1.6239571660536936</c:v>
                </c:pt>
                <c:pt idx="31">
                  <c:v>1.7022090703136501</c:v>
                </c:pt>
                <c:pt idx="32">
                  <c:v>1.7823021958503122</c:v>
                </c:pt>
                <c:pt idx="33">
                  <c:v>1.8642365426636784</c:v>
                </c:pt>
                <c:pt idx="34">
                  <c:v>1.9480121107537505</c:v>
                </c:pt>
                <c:pt idx="35">
                  <c:v>2.0336289001205263</c:v>
                </c:pt>
                <c:pt idx="36">
                  <c:v>2.1210869107640082</c:v>
                </c:pt>
                <c:pt idx="37">
                  <c:v>2.2103861426841935</c:v>
                </c:pt>
                <c:pt idx="38">
                  <c:v>2.3015265958810853</c:v>
                </c:pt>
                <c:pt idx="39">
                  <c:v>2.3945082703546805</c:v>
                </c:pt>
              </c:numCache>
            </c:numRef>
          </c:yVal>
          <c:smooth val="0"/>
        </c:ser>
        <c:ser>
          <c:idx val="1"/>
          <c:order val="1"/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('Radial GRIN Controls'!$Z$9,'Radial GRIN Controls'!$Z$48)</c:f>
              <c:numCache>
                <c:formatCode>General</c:formatCode>
                <c:ptCount val="2"/>
                <c:pt idx="0">
                  <c:v>0</c:v>
                </c:pt>
                <c:pt idx="1">
                  <c:v>12.5</c:v>
                </c:pt>
              </c:numCache>
            </c:numRef>
          </c:xVal>
          <c:yVal>
            <c:numRef>
              <c:f>('Radial GRIN Controls'!$C$32,'Radial GRIN Controls'!$C$32)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2"/>
          <c:order val="2"/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('Radial GRIN Controls'!$Z$9,'Radial GRIN Controls'!$Z$48)</c:f>
              <c:numCache>
                <c:formatCode>General</c:formatCode>
                <c:ptCount val="2"/>
                <c:pt idx="0">
                  <c:v>0</c:v>
                </c:pt>
                <c:pt idx="1">
                  <c:v>12.5</c:v>
                </c:pt>
              </c:numCache>
            </c:numRef>
          </c:xVal>
          <c:yVal>
            <c:numRef>
              <c:f>('Radial GRIN Controls'!$C$33,'Radial GRIN Controls'!$C$33)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279984"/>
        <c:axId val="274280376"/>
      </c:scatterChart>
      <c:valAx>
        <c:axId val="27427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Radius (mm)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74280376"/>
        <c:crosses val="autoZero"/>
        <c:crossBetween val="midCat"/>
      </c:valAx>
      <c:valAx>
        <c:axId val="2742803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Concentration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74279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/>
            </a:pPr>
            <a:r>
              <a:rPr lang="en-US" sz="1600" b="0"/>
              <a:t>Concentration Profile Along Optical Axis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'Spherical GRIN Controls'!$U$7:$U$58</c:f>
              <c:numCache>
                <c:formatCode>General</c:formatCode>
                <c:ptCount val="52"/>
                <c:pt idx="0">
                  <c:v>0</c:v>
                </c:pt>
                <c:pt idx="1">
                  <c:v>0.13725490196078433</c:v>
                </c:pt>
                <c:pt idx="2">
                  <c:v>0.27450980392156865</c:v>
                </c:pt>
                <c:pt idx="3">
                  <c:v>0.41176470588235292</c:v>
                </c:pt>
                <c:pt idx="4">
                  <c:v>0.5490196078431373</c:v>
                </c:pt>
                <c:pt idx="5">
                  <c:v>0.68627450980392157</c:v>
                </c:pt>
                <c:pt idx="6">
                  <c:v>0.82352941176470584</c:v>
                </c:pt>
                <c:pt idx="7">
                  <c:v>0.96078431372549022</c:v>
                </c:pt>
                <c:pt idx="8">
                  <c:v>1.0980392156862746</c:v>
                </c:pt>
                <c:pt idx="9">
                  <c:v>1.2352941176470589</c:v>
                </c:pt>
                <c:pt idx="10">
                  <c:v>1.3725490196078431</c:v>
                </c:pt>
                <c:pt idx="11">
                  <c:v>1.5098039215686274</c:v>
                </c:pt>
                <c:pt idx="12">
                  <c:v>1.6470588235294117</c:v>
                </c:pt>
                <c:pt idx="13">
                  <c:v>1.7843137254901962</c:v>
                </c:pt>
                <c:pt idx="14">
                  <c:v>1.9215686274509804</c:v>
                </c:pt>
                <c:pt idx="15">
                  <c:v>2.0588235294117645</c:v>
                </c:pt>
                <c:pt idx="16">
                  <c:v>2.1960784313725492</c:v>
                </c:pt>
                <c:pt idx="17">
                  <c:v>2.3333333333333335</c:v>
                </c:pt>
                <c:pt idx="18">
                  <c:v>2.4705882352941178</c:v>
                </c:pt>
                <c:pt idx="19">
                  <c:v>2.607843137254902</c:v>
                </c:pt>
                <c:pt idx="20">
                  <c:v>2.7450980392156863</c:v>
                </c:pt>
                <c:pt idx="21">
                  <c:v>2.8823529411764706</c:v>
                </c:pt>
                <c:pt idx="22">
                  <c:v>3.0196078431372548</c:v>
                </c:pt>
                <c:pt idx="23">
                  <c:v>3.1568627450980391</c:v>
                </c:pt>
                <c:pt idx="24">
                  <c:v>3.2941176470588234</c:v>
                </c:pt>
                <c:pt idx="25">
                  <c:v>3.4313725490196076</c:v>
                </c:pt>
                <c:pt idx="26">
                  <c:v>3.5686274509803924</c:v>
                </c:pt>
                <c:pt idx="27">
                  <c:v>3.7058823529411766</c:v>
                </c:pt>
                <c:pt idx="28">
                  <c:v>3.8431372549019609</c:v>
                </c:pt>
                <c:pt idx="29">
                  <c:v>3.9803921568627452</c:v>
                </c:pt>
                <c:pt idx="30">
                  <c:v>4.117647058823529</c:v>
                </c:pt>
                <c:pt idx="31">
                  <c:v>4.2549019607843137</c:v>
                </c:pt>
                <c:pt idx="32">
                  <c:v>4.3921568627450984</c:v>
                </c:pt>
                <c:pt idx="33">
                  <c:v>4.5294117647058822</c:v>
                </c:pt>
                <c:pt idx="34">
                  <c:v>4.666666666666667</c:v>
                </c:pt>
                <c:pt idx="35">
                  <c:v>4.8039215686274508</c:v>
                </c:pt>
                <c:pt idx="36">
                  <c:v>4.9411764705882355</c:v>
                </c:pt>
                <c:pt idx="37">
                  <c:v>5.0784313725490193</c:v>
                </c:pt>
                <c:pt idx="38">
                  <c:v>5.215686274509804</c:v>
                </c:pt>
                <c:pt idx="39">
                  <c:v>5.3529411764705879</c:v>
                </c:pt>
                <c:pt idx="40">
                  <c:v>5.4901960784313726</c:v>
                </c:pt>
                <c:pt idx="41">
                  <c:v>5.6274509803921573</c:v>
                </c:pt>
                <c:pt idx="42">
                  <c:v>5.7647058823529411</c:v>
                </c:pt>
                <c:pt idx="43">
                  <c:v>5.9019607843137258</c:v>
                </c:pt>
                <c:pt idx="44">
                  <c:v>6.0392156862745097</c:v>
                </c:pt>
                <c:pt idx="45">
                  <c:v>6.1764705882352944</c:v>
                </c:pt>
                <c:pt idx="46">
                  <c:v>6.3137254901960782</c:v>
                </c:pt>
                <c:pt idx="47">
                  <c:v>6.4509803921568629</c:v>
                </c:pt>
                <c:pt idx="48">
                  <c:v>6.5882352941176467</c:v>
                </c:pt>
                <c:pt idx="49">
                  <c:v>6.7254901960784315</c:v>
                </c:pt>
                <c:pt idx="50">
                  <c:v>6.8627450980392153</c:v>
                </c:pt>
                <c:pt idx="51">
                  <c:v>7</c:v>
                </c:pt>
              </c:numCache>
            </c:numRef>
          </c:xVal>
          <c:yVal>
            <c:numRef>
              <c:f>'Spherical GRIN Controls'!$V$7:$V$58</c:f>
              <c:numCache>
                <c:formatCode>0.0000E+00</c:formatCode>
                <c:ptCount val="52"/>
                <c:pt idx="0">
                  <c:v>0.41098695989077039</c:v>
                </c:pt>
                <c:pt idx="1">
                  <c:v>0.40816646114642197</c:v>
                </c:pt>
                <c:pt idx="2">
                  <c:v>0.40534596240207355</c:v>
                </c:pt>
                <c:pt idx="3">
                  <c:v>0.40252546365772518</c:v>
                </c:pt>
                <c:pt idx="4">
                  <c:v>0.39970496491337665</c:v>
                </c:pt>
                <c:pt idx="5">
                  <c:v>0.39688446616902828</c:v>
                </c:pt>
                <c:pt idx="6">
                  <c:v>0.39406396742467986</c:v>
                </c:pt>
                <c:pt idx="7">
                  <c:v>0.39124346868033144</c:v>
                </c:pt>
                <c:pt idx="8">
                  <c:v>0.38842296993598302</c:v>
                </c:pt>
                <c:pt idx="9">
                  <c:v>0.3856024711916346</c:v>
                </c:pt>
                <c:pt idx="10">
                  <c:v>0.38278197244728618</c:v>
                </c:pt>
                <c:pt idx="11">
                  <c:v>0.37996147370293776</c:v>
                </c:pt>
                <c:pt idx="12">
                  <c:v>0.37714097495858928</c:v>
                </c:pt>
                <c:pt idx="13">
                  <c:v>0.37432047621424086</c:v>
                </c:pt>
                <c:pt idx="14">
                  <c:v>0.37149997746989244</c:v>
                </c:pt>
                <c:pt idx="15">
                  <c:v>0.36867947872554402</c:v>
                </c:pt>
                <c:pt idx="16">
                  <c:v>0.36585897998119565</c:v>
                </c:pt>
                <c:pt idx="17">
                  <c:v>0.36303848123684723</c:v>
                </c:pt>
                <c:pt idx="18">
                  <c:v>0.36021798249249881</c:v>
                </c:pt>
                <c:pt idx="19">
                  <c:v>0.35739748374815034</c:v>
                </c:pt>
                <c:pt idx="20">
                  <c:v>0.35457698500380191</c:v>
                </c:pt>
                <c:pt idx="21">
                  <c:v>0.35175648625945349</c:v>
                </c:pt>
                <c:pt idx="22">
                  <c:v>0.34893598751510507</c:v>
                </c:pt>
                <c:pt idx="23">
                  <c:v>0.34611548877075665</c:v>
                </c:pt>
                <c:pt idx="24">
                  <c:v>0.34329499002640823</c:v>
                </c:pt>
                <c:pt idx="25">
                  <c:v>0.34047449128205981</c:v>
                </c:pt>
                <c:pt idx="26">
                  <c:v>0.33765399253771133</c:v>
                </c:pt>
                <c:pt idx="27">
                  <c:v>0.33483349379336291</c:v>
                </c:pt>
                <c:pt idx="28">
                  <c:v>0.33201299504901449</c:v>
                </c:pt>
                <c:pt idx="29">
                  <c:v>0.32919249630466607</c:v>
                </c:pt>
                <c:pt idx="30">
                  <c:v>0.32637199756031771</c:v>
                </c:pt>
                <c:pt idx="31">
                  <c:v>0.32355149881596929</c:v>
                </c:pt>
                <c:pt idx="32">
                  <c:v>0.32073100007162081</c:v>
                </c:pt>
                <c:pt idx="33">
                  <c:v>0.31791050132727239</c:v>
                </c:pt>
                <c:pt idx="34">
                  <c:v>0.31509000258292397</c:v>
                </c:pt>
                <c:pt idx="35">
                  <c:v>0.31226950383857555</c:v>
                </c:pt>
                <c:pt idx="36">
                  <c:v>0.30944900509422713</c:v>
                </c:pt>
                <c:pt idx="37">
                  <c:v>0.3066285063498787</c:v>
                </c:pt>
                <c:pt idx="38">
                  <c:v>0.30380800760553028</c:v>
                </c:pt>
                <c:pt idx="39">
                  <c:v>0.30098750886118186</c:v>
                </c:pt>
                <c:pt idx="40">
                  <c:v>0.29816701011683344</c:v>
                </c:pt>
                <c:pt idx="41">
                  <c:v>0.29534651137248497</c:v>
                </c:pt>
                <c:pt idx="42">
                  <c:v>0.29252601262813654</c:v>
                </c:pt>
                <c:pt idx="43">
                  <c:v>0.28970551388378812</c:v>
                </c:pt>
                <c:pt idx="44">
                  <c:v>0.28688501513943976</c:v>
                </c:pt>
                <c:pt idx="45">
                  <c:v>0.28406451639509134</c:v>
                </c:pt>
                <c:pt idx="46">
                  <c:v>0.28124401765074292</c:v>
                </c:pt>
                <c:pt idx="47">
                  <c:v>0.27842351890639444</c:v>
                </c:pt>
                <c:pt idx="48">
                  <c:v>0.27560302016204602</c:v>
                </c:pt>
                <c:pt idx="49">
                  <c:v>0.2727825214176976</c:v>
                </c:pt>
                <c:pt idx="50">
                  <c:v>0.26996202267334918</c:v>
                </c:pt>
                <c:pt idx="51">
                  <c:v>0.26714152392900076</c:v>
                </c:pt>
              </c:numCache>
            </c:numRef>
          </c:yVal>
          <c:smooth val="0"/>
        </c:ser>
        <c:ser>
          <c:idx val="1"/>
          <c:order val="1"/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('Spherical GRIN Controls'!$U$7,'Spherical GRIN Controls'!$U$58)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xVal>
          <c:yVal>
            <c:numRef>
              <c:f>('Spherical GRIN Controls'!$C$32,'Spherical GRIN Controls'!$C$32)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2"/>
          <c:order val="2"/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('Spherical GRIN Controls'!$U$7,'Spherical GRIN Controls'!$U$58)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xVal>
          <c:yVal>
            <c:numRef>
              <c:f>('Spherical GRIN Controls'!$C$33,'Spherical GRIN Controls'!$C$33)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279200"/>
        <c:axId val="274276456"/>
      </c:scatterChart>
      <c:valAx>
        <c:axId val="27427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Z (mm)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74276456"/>
        <c:crosses val="autoZero"/>
        <c:crossBetween val="midCat"/>
      </c:valAx>
      <c:valAx>
        <c:axId val="2742764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Concentration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274279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Concentration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'Rad-Spherical GRIN Controls'!$Z$9:$Z$75</c:f>
              <c:numCache>
                <c:formatCode>General</c:formatCode>
                <c:ptCount val="67"/>
                <c:pt idx="0">
                  <c:v>0</c:v>
                </c:pt>
                <c:pt idx="1">
                  <c:v>0.11764705882352941</c:v>
                </c:pt>
                <c:pt idx="2">
                  <c:v>0.23529411764705882</c:v>
                </c:pt>
                <c:pt idx="3">
                  <c:v>0.35294117647058826</c:v>
                </c:pt>
                <c:pt idx="4">
                  <c:v>0.47058823529411764</c:v>
                </c:pt>
                <c:pt idx="5">
                  <c:v>0.58823529411764708</c:v>
                </c:pt>
                <c:pt idx="6">
                  <c:v>0.70588235294117652</c:v>
                </c:pt>
                <c:pt idx="7">
                  <c:v>0.82352941176470584</c:v>
                </c:pt>
                <c:pt idx="8">
                  <c:v>0.94117647058823528</c:v>
                </c:pt>
                <c:pt idx="9">
                  <c:v>1.0588235294117647</c:v>
                </c:pt>
                <c:pt idx="10">
                  <c:v>1.1764705882352942</c:v>
                </c:pt>
                <c:pt idx="12">
                  <c:v>1.2941176470588236</c:v>
                </c:pt>
                <c:pt idx="14">
                  <c:v>1.411764705882353</c:v>
                </c:pt>
                <c:pt idx="15">
                  <c:v>1.5294117647058822</c:v>
                </c:pt>
                <c:pt idx="16">
                  <c:v>1.6470588235294117</c:v>
                </c:pt>
                <c:pt idx="17">
                  <c:v>2.5882352941176472</c:v>
                </c:pt>
                <c:pt idx="18">
                  <c:v>2.7058823529411766</c:v>
                </c:pt>
                <c:pt idx="19">
                  <c:v>2.8235294117647061</c:v>
                </c:pt>
                <c:pt idx="20">
                  <c:v>2.9411764705882355</c:v>
                </c:pt>
                <c:pt idx="21">
                  <c:v>3.4117647058823528</c:v>
                </c:pt>
                <c:pt idx="22">
                  <c:v>3.5294117647058822</c:v>
                </c:pt>
                <c:pt idx="23">
                  <c:v>3.6470588235294117</c:v>
                </c:pt>
                <c:pt idx="24">
                  <c:v>3.7647058823529411</c:v>
                </c:pt>
                <c:pt idx="25">
                  <c:v>4.117647058823529</c:v>
                </c:pt>
                <c:pt idx="26">
                  <c:v>4.2352941176470589</c:v>
                </c:pt>
                <c:pt idx="27">
                  <c:v>4.3529411764705879</c:v>
                </c:pt>
                <c:pt idx="28">
                  <c:v>4.4705882352941178</c:v>
                </c:pt>
                <c:pt idx="29">
                  <c:v>4.5882352941176467</c:v>
                </c:pt>
                <c:pt idx="30">
                  <c:v>4.7058823529411766</c:v>
                </c:pt>
                <c:pt idx="31">
                  <c:v>4.8235294117647056</c:v>
                </c:pt>
                <c:pt idx="32">
                  <c:v>4.9411764705882355</c:v>
                </c:pt>
                <c:pt idx="33">
                  <c:v>5.0588235294117645</c:v>
                </c:pt>
                <c:pt idx="34">
                  <c:v>5.1764705882352944</c:v>
                </c:pt>
                <c:pt idx="35">
                  <c:v>5.2941176470588234</c:v>
                </c:pt>
                <c:pt idx="36">
                  <c:v>5.4117647058823533</c:v>
                </c:pt>
                <c:pt idx="37">
                  <c:v>5.5294117647058822</c:v>
                </c:pt>
                <c:pt idx="38">
                  <c:v>5.6470588235294121</c:v>
                </c:pt>
                <c:pt idx="39">
                  <c:v>5.7647058823529411</c:v>
                </c:pt>
                <c:pt idx="40">
                  <c:v>5.882352941176471</c:v>
                </c:pt>
                <c:pt idx="41">
                  <c:v>6</c:v>
                </c:pt>
              </c:numCache>
            </c:numRef>
          </c:xVal>
          <c:yVal>
            <c:numRef>
              <c:f>'Rad-Spherical GRIN Controls'!$AA$9:$AA$75</c:f>
              <c:numCache>
                <c:formatCode>0.0000E+00</c:formatCode>
                <c:ptCount val="67"/>
                <c:pt idx="0">
                  <c:v>1</c:v>
                </c:pt>
                <c:pt idx="1">
                  <c:v>1.0000100183406695</c:v>
                </c:pt>
                <c:pt idx="2">
                  <c:v>1.0000400768560074</c:v>
                </c:pt>
                <c:pt idx="3">
                  <c:v>1.0000901860191012</c:v>
                </c:pt>
                <c:pt idx="4">
                  <c:v>1.0001603632621363</c:v>
                </c:pt>
                <c:pt idx="5">
                  <c:v>1.0002506329421053</c:v>
                </c:pt>
                <c:pt idx="6">
                  <c:v>1.0003610262931146</c:v>
                </c:pt>
                <c:pt idx="7">
                  <c:v>1.0004915813655859</c:v>
                </c:pt>
                <c:pt idx="8">
                  <c:v>1.0006423429527544</c:v>
                </c:pt>
                <c:pt idx="9">
                  <c:v>1.0008133625049451</c:v>
                </c:pt>
                <c:pt idx="10">
                  <c:v>1.0010046980321967</c:v>
                </c:pt>
                <c:pt idx="11">
                  <c:v>1</c:v>
                </c:pt>
                <c:pt idx="12">
                  <c:v>1.0012164139958939</c:v>
                </c:pt>
                <c:pt idx="13">
                  <c:v>1</c:v>
                </c:pt>
                <c:pt idx="14">
                  <c:v>1.0014485811901543</c:v>
                </c:pt>
                <c:pt idx="15">
                  <c:v>1.0017012766138009</c:v>
                </c:pt>
                <c:pt idx="16">
                  <c:v>1.00197458333385</c:v>
                </c:pt>
                <c:pt idx="17">
                  <c:v>1.0049148953529148</c:v>
                </c:pt>
                <c:pt idx="18">
                  <c:v>1.0053783678421055</c:v>
                </c:pt>
                <c:pt idx="19">
                  <c:v>1.0058635822312436</c:v>
                </c:pt>
                <c:pt idx="20">
                  <c:v>1.0063706780864676</c:v>
                </c:pt>
                <c:pt idx="21">
                  <c:v>1.0086208128263263</c:v>
                </c:pt>
                <c:pt idx="22">
                  <c:v>1.0092395533221068</c:v>
                </c:pt>
                <c:pt idx="23">
                  <c:v>1.0098810975936305</c:v>
                </c:pt>
                <c:pt idx="24">
                  <c:v>1.0105456127461487</c:v>
                </c:pt>
                <c:pt idx="25">
                  <c:v>1.0126787106669994</c:v>
                </c:pt>
                <c:pt idx="26">
                  <c:v>1.0134368555358206</c:v>
                </c:pt>
                <c:pt idx="27">
                  <c:v>1.0142188637071117</c:v>
                </c:pt>
                <c:pt idx="28">
                  <c:v>1.0150249256754373</c:v>
                </c:pt>
                <c:pt idx="29">
                  <c:v>1.0158552363275941</c:v>
                </c:pt>
                <c:pt idx="30">
                  <c:v>1.0167099951968235</c:v>
                </c:pt>
                <c:pt idx="31">
                  <c:v>1.0175894067666298</c:v>
                </c:pt>
                <c:pt idx="32">
                  <c:v>1.0184936808276015</c:v>
                </c:pt>
                <c:pt idx="33">
                  <c:v>1.0194230328906844</c:v>
                </c:pt>
                <c:pt idx="34">
                  <c:v>1.020377684660484</c:v>
                </c:pt>
                <c:pt idx="35">
                  <c:v>1.0213578645722274</c:v>
                </c:pt>
                <c:pt idx="36">
                  <c:v>1.0223638083961268</c:v>
                </c:pt>
                <c:pt idx="37">
                  <c:v>1.0233957599129588</c:v>
                </c:pt>
                <c:pt idx="38">
                  <c:v>1.024453971664774</c:v>
                </c:pt>
                <c:pt idx="39">
                  <c:v>1.0255387057847269</c:v>
                </c:pt>
                <c:pt idx="40">
                  <c:v>1.0266502349101181</c:v>
                </c:pt>
                <c:pt idx="41">
                  <c:v>1.0277888431828117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</c:numCache>
            </c:numRef>
          </c:yVal>
          <c:smooth val="0"/>
        </c:ser>
        <c:ser>
          <c:idx val="1"/>
          <c:order val="1"/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('Rad-Spherical GRIN Controls'!$Z$9,'Rad-Spherical GRIN Controls'!$Z$50)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('Rad-Spherical GRIN Controls'!$C$32,'Rad-Spherical GRIN Controls'!$C$32)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2"/>
          <c:order val="2"/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('Rad-Spherical GRIN Controls'!$Z$9,'Rad-Spherical GRIN Controls'!$Z$50)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('Rad-Spherical GRIN Controls'!$C$33,'Rad-Spherical GRIN Controls'!$C$33)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281160"/>
        <c:axId val="274281944"/>
      </c:scatterChart>
      <c:valAx>
        <c:axId val="27428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Radius (mm)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74281944"/>
        <c:crosses val="autoZero"/>
        <c:crossBetween val="midCat"/>
      </c:valAx>
      <c:valAx>
        <c:axId val="2742819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Concentration</a:t>
                </a:r>
              </a:p>
            </c:rich>
          </c:tx>
          <c:layout/>
          <c:overlay val="0"/>
        </c:title>
        <c:numFmt formatCode="0.0000E+00" sourceLinked="1"/>
        <c:majorTickMark val="none"/>
        <c:minorTickMark val="none"/>
        <c:tickLblPos val="nextTo"/>
        <c:crossAx val="274281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Concentration Profile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'Axial GRIN Controls'!$U$7:$U$76</c:f>
              <c:numCache>
                <c:formatCode>General</c:formatCode>
                <c:ptCount val="70"/>
                <c:pt idx="0">
                  <c:v>0</c:v>
                </c:pt>
                <c:pt idx="1">
                  <c:v>1.9607843137254902E-2</c:v>
                </c:pt>
                <c:pt idx="2">
                  <c:v>3.9215686274509803E-2</c:v>
                </c:pt>
                <c:pt idx="3">
                  <c:v>5.8823529411764705E-2</c:v>
                </c:pt>
                <c:pt idx="4">
                  <c:v>7.8431372549019607E-2</c:v>
                </c:pt>
                <c:pt idx="5">
                  <c:v>9.8039215686274508E-2</c:v>
                </c:pt>
                <c:pt idx="6">
                  <c:v>0.11764705882352941</c:v>
                </c:pt>
                <c:pt idx="7">
                  <c:v>0.13725490196078433</c:v>
                </c:pt>
                <c:pt idx="8">
                  <c:v>0.15686274509803921</c:v>
                </c:pt>
                <c:pt idx="9">
                  <c:v>0.17647058823529413</c:v>
                </c:pt>
                <c:pt idx="10">
                  <c:v>0.19607843137254902</c:v>
                </c:pt>
                <c:pt idx="11">
                  <c:v>0.21568627450980393</c:v>
                </c:pt>
                <c:pt idx="12">
                  <c:v>0.23529411764705882</c:v>
                </c:pt>
                <c:pt idx="13">
                  <c:v>0.25490196078431371</c:v>
                </c:pt>
                <c:pt idx="14">
                  <c:v>0.27450980392156865</c:v>
                </c:pt>
                <c:pt idx="15">
                  <c:v>0.29411764705882354</c:v>
                </c:pt>
                <c:pt idx="16">
                  <c:v>0.31372549019607843</c:v>
                </c:pt>
                <c:pt idx="17">
                  <c:v>0.33333333333333331</c:v>
                </c:pt>
                <c:pt idx="18">
                  <c:v>0.35294117647058826</c:v>
                </c:pt>
                <c:pt idx="19">
                  <c:v>0.37254901960784315</c:v>
                </c:pt>
                <c:pt idx="20">
                  <c:v>0.39215686274509803</c:v>
                </c:pt>
                <c:pt idx="21">
                  <c:v>0.41176470588235292</c:v>
                </c:pt>
                <c:pt idx="22">
                  <c:v>0.43137254901960786</c:v>
                </c:pt>
                <c:pt idx="23">
                  <c:v>0.45098039215686275</c:v>
                </c:pt>
                <c:pt idx="24">
                  <c:v>0.47058823529411764</c:v>
                </c:pt>
                <c:pt idx="25">
                  <c:v>0.49019607843137253</c:v>
                </c:pt>
                <c:pt idx="26">
                  <c:v>0.50980392156862742</c:v>
                </c:pt>
                <c:pt idx="27">
                  <c:v>0.52941176470588236</c:v>
                </c:pt>
                <c:pt idx="28">
                  <c:v>0.5490196078431373</c:v>
                </c:pt>
                <c:pt idx="29">
                  <c:v>0.56862745098039214</c:v>
                </c:pt>
                <c:pt idx="30">
                  <c:v>0.58823529411764708</c:v>
                </c:pt>
                <c:pt idx="31">
                  <c:v>0.60784313725490191</c:v>
                </c:pt>
                <c:pt idx="32">
                  <c:v>0.62745098039215685</c:v>
                </c:pt>
                <c:pt idx="33">
                  <c:v>0.6470588235294118</c:v>
                </c:pt>
                <c:pt idx="34">
                  <c:v>0.66666666666666663</c:v>
                </c:pt>
                <c:pt idx="35">
                  <c:v>0.68627450980392157</c:v>
                </c:pt>
                <c:pt idx="36">
                  <c:v>0.70588235294117652</c:v>
                </c:pt>
                <c:pt idx="37">
                  <c:v>0.72549019607843135</c:v>
                </c:pt>
                <c:pt idx="38">
                  <c:v>0.74509803921568629</c:v>
                </c:pt>
                <c:pt idx="39">
                  <c:v>0.76470588235294112</c:v>
                </c:pt>
                <c:pt idx="40">
                  <c:v>0.78431372549019607</c:v>
                </c:pt>
                <c:pt idx="41">
                  <c:v>0.80392156862745101</c:v>
                </c:pt>
                <c:pt idx="42">
                  <c:v>0.82352941176470584</c:v>
                </c:pt>
                <c:pt idx="43">
                  <c:v>0.84313725490196079</c:v>
                </c:pt>
                <c:pt idx="44">
                  <c:v>0.86274509803921573</c:v>
                </c:pt>
                <c:pt idx="45">
                  <c:v>0.88235294117647056</c:v>
                </c:pt>
                <c:pt idx="46">
                  <c:v>0.90196078431372551</c:v>
                </c:pt>
                <c:pt idx="47">
                  <c:v>0.92156862745098034</c:v>
                </c:pt>
                <c:pt idx="48">
                  <c:v>0.94117647058823528</c:v>
                </c:pt>
                <c:pt idx="49">
                  <c:v>0.96078431372549022</c:v>
                </c:pt>
                <c:pt idx="50">
                  <c:v>0.98039215686274506</c:v>
                </c:pt>
                <c:pt idx="51">
                  <c:v>1</c:v>
                </c:pt>
              </c:numCache>
            </c:numRef>
          </c:xVal>
          <c:yVal>
            <c:numRef>
              <c:f>'Axial GRIN Controls'!$V$7:$V$76</c:f>
              <c:numCache>
                <c:formatCode>General</c:formatCode>
                <c:ptCount val="70"/>
                <c:pt idx="0">
                  <c:v>0.49999999999998718</c:v>
                </c:pt>
                <c:pt idx="1">
                  <c:v>0.49773878908327601</c:v>
                </c:pt>
                <c:pt idx="2">
                  <c:v>0.49547757816656485</c:v>
                </c:pt>
                <c:pt idx="3">
                  <c:v>0.49321636724985368</c:v>
                </c:pt>
                <c:pt idx="4">
                  <c:v>0.49095515633314252</c:v>
                </c:pt>
                <c:pt idx="5">
                  <c:v>0.48869394541643141</c:v>
                </c:pt>
                <c:pt idx="6">
                  <c:v>0.48643273449972024</c:v>
                </c:pt>
                <c:pt idx="7">
                  <c:v>0.48417152358300908</c:v>
                </c:pt>
                <c:pt idx="8">
                  <c:v>0.48191031266629791</c:v>
                </c:pt>
                <c:pt idx="9">
                  <c:v>0.47964910174958675</c:v>
                </c:pt>
                <c:pt idx="10">
                  <c:v>0.47738789083287558</c:v>
                </c:pt>
                <c:pt idx="11">
                  <c:v>0.47512667991616442</c:v>
                </c:pt>
                <c:pt idx="12">
                  <c:v>0.47286546899945325</c:v>
                </c:pt>
                <c:pt idx="13">
                  <c:v>0.47060425808274209</c:v>
                </c:pt>
                <c:pt idx="14">
                  <c:v>0.46834304716603092</c:v>
                </c:pt>
                <c:pt idx="15">
                  <c:v>0.46608183624931981</c:v>
                </c:pt>
                <c:pt idx="16">
                  <c:v>0.46382062533260865</c:v>
                </c:pt>
                <c:pt idx="17">
                  <c:v>0.46155941441589748</c:v>
                </c:pt>
                <c:pt idx="18">
                  <c:v>0.45929820349918632</c:v>
                </c:pt>
                <c:pt idx="19">
                  <c:v>0.45703699258247515</c:v>
                </c:pt>
                <c:pt idx="20">
                  <c:v>0.45477578166576399</c:v>
                </c:pt>
                <c:pt idx="21">
                  <c:v>0.45251457074905282</c:v>
                </c:pt>
                <c:pt idx="22">
                  <c:v>0.45025335983234166</c:v>
                </c:pt>
                <c:pt idx="23">
                  <c:v>0.44799214891563055</c:v>
                </c:pt>
                <c:pt idx="24">
                  <c:v>0.44573093799891939</c:v>
                </c:pt>
                <c:pt idx="25">
                  <c:v>0.44346972708220822</c:v>
                </c:pt>
                <c:pt idx="26">
                  <c:v>0.44120851616549706</c:v>
                </c:pt>
                <c:pt idx="27">
                  <c:v>0.43894730524878589</c:v>
                </c:pt>
                <c:pt idx="28">
                  <c:v>0.43668609433207473</c:v>
                </c:pt>
                <c:pt idx="29">
                  <c:v>0.43442488341536356</c:v>
                </c:pt>
                <c:pt idx="30">
                  <c:v>0.4321636724986524</c:v>
                </c:pt>
                <c:pt idx="31">
                  <c:v>0.42990246158194123</c:v>
                </c:pt>
                <c:pt idx="32">
                  <c:v>0.42764125066523007</c:v>
                </c:pt>
                <c:pt idx="33">
                  <c:v>0.4253800397485189</c:v>
                </c:pt>
                <c:pt idx="34">
                  <c:v>0.42311882883180779</c:v>
                </c:pt>
                <c:pt idx="35">
                  <c:v>0.42085761791509663</c:v>
                </c:pt>
                <c:pt idx="36">
                  <c:v>0.41859640699838546</c:v>
                </c:pt>
                <c:pt idx="37">
                  <c:v>0.4163351960816743</c:v>
                </c:pt>
                <c:pt idx="38">
                  <c:v>0.41407398516496313</c:v>
                </c:pt>
                <c:pt idx="39">
                  <c:v>0.41181277424825197</c:v>
                </c:pt>
                <c:pt idx="40">
                  <c:v>0.4095515633315408</c:v>
                </c:pt>
                <c:pt idx="41">
                  <c:v>0.40729035241482964</c:v>
                </c:pt>
                <c:pt idx="42">
                  <c:v>0.40502914149811853</c:v>
                </c:pt>
                <c:pt idx="43">
                  <c:v>0.40276793058140736</c:v>
                </c:pt>
                <c:pt idx="44">
                  <c:v>0.4005067196646962</c:v>
                </c:pt>
                <c:pt idx="45">
                  <c:v>0.39824550874798503</c:v>
                </c:pt>
                <c:pt idx="46">
                  <c:v>0.39598429783127387</c:v>
                </c:pt>
                <c:pt idx="47">
                  <c:v>0.3937230869145627</c:v>
                </c:pt>
                <c:pt idx="48">
                  <c:v>0.39146187599785154</c:v>
                </c:pt>
                <c:pt idx="49">
                  <c:v>0.38920066508114037</c:v>
                </c:pt>
                <c:pt idx="50">
                  <c:v>0.38693945416442921</c:v>
                </c:pt>
                <c:pt idx="51">
                  <c:v>0.38467824324771804</c:v>
                </c:pt>
              </c:numCache>
            </c:numRef>
          </c:yVal>
          <c:smooth val="0"/>
        </c:ser>
        <c:ser>
          <c:idx val="1"/>
          <c:order val="1"/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('Axial GRIN Controls'!$U$7,'Axial GRIN Controls'!$U$58)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('Axial GRIN Controls'!$C$25,'Axial GRIN Controls'!$C$25)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2"/>
          <c:order val="2"/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('Axial GRIN Controls'!$U$7,'Axial GRIN Controls'!$U$58)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('Axial GRIN Controls'!$C$26,'Axial GRIN Controls'!$C$26)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283512"/>
        <c:axId val="274278024"/>
      </c:scatterChart>
      <c:valAx>
        <c:axId val="274283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 (mm)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74278024"/>
        <c:crosses val="autoZero"/>
        <c:crossBetween val="midCat"/>
      </c:valAx>
      <c:valAx>
        <c:axId val="274278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Concentration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742835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133349</xdr:colOff>
      <xdr:row>2</xdr:row>
      <xdr:rowOff>133350</xdr:rowOff>
    </xdr:from>
    <xdr:to>
      <xdr:col>19</xdr:col>
      <xdr:colOff>561974</xdr:colOff>
      <xdr:row>14</xdr:row>
      <xdr:rowOff>295275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609599</xdr:colOff>
      <xdr:row>1</xdr:row>
      <xdr:rowOff>0</xdr:rowOff>
    </xdr:from>
    <xdr:to>
      <xdr:col>21</xdr:col>
      <xdr:colOff>28574</xdr:colOff>
      <xdr:row>14</xdr:row>
      <xdr:rowOff>333375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133349</xdr:colOff>
      <xdr:row>2</xdr:row>
      <xdr:rowOff>133350</xdr:rowOff>
    </xdr:from>
    <xdr:to>
      <xdr:col>19</xdr:col>
      <xdr:colOff>561974</xdr:colOff>
      <xdr:row>14</xdr:row>
      <xdr:rowOff>295275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152400</xdr:colOff>
      <xdr:row>0</xdr:row>
      <xdr:rowOff>38100</xdr:rowOff>
    </xdr:from>
    <xdr:to>
      <xdr:col>19</xdr:col>
      <xdr:colOff>57150</xdr:colOff>
      <xdr:row>15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H17" sqref="H17"/>
    </sheetView>
  </sheetViews>
  <sheetFormatPr defaultRowHeight="15" x14ac:dyDescent="0.25"/>
  <cols>
    <col min="1" max="1" width="18.7109375" customWidth="1"/>
    <col min="2" max="2" width="20.7109375" customWidth="1"/>
    <col min="3" max="3" width="16.5703125" bestFit="1" customWidth="1"/>
    <col min="11" max="12" width="9.140625" customWidth="1"/>
    <col min="14" max="14" width="70.7109375" bestFit="1" customWidth="1"/>
    <col min="15" max="15" width="9.140625" customWidth="1"/>
  </cols>
  <sheetData>
    <row r="1" spans="1:14" s="30" customFormat="1" ht="17.25" customHeight="1" x14ac:dyDescent="0.25">
      <c r="A1" s="30" t="s">
        <v>41</v>
      </c>
    </row>
    <row r="2" spans="1:14" s="30" customFormat="1" ht="17.25" customHeight="1" x14ac:dyDescent="0.25">
      <c r="A2" s="30" t="s">
        <v>40</v>
      </c>
    </row>
    <row r="3" spans="1:14" s="30" customFormat="1" ht="17.25" customHeight="1" x14ac:dyDescent="0.25">
      <c r="A3" s="30" t="s">
        <v>42</v>
      </c>
    </row>
    <row r="4" spans="1:14" ht="17.25" customHeight="1" thickBot="1" x14ac:dyDescent="0.3"/>
    <row r="5" spans="1:14" ht="17.25" customHeight="1" thickBot="1" x14ac:dyDescent="0.3">
      <c r="A5" s="30" t="s">
        <v>36</v>
      </c>
      <c r="C5" s="30" t="s">
        <v>29</v>
      </c>
      <c r="D5" s="36">
        <v>5</v>
      </c>
      <c r="E5" s="37">
        <v>4</v>
      </c>
      <c r="F5" s="37">
        <v>3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8">
        <v>0</v>
      </c>
    </row>
    <row r="6" spans="1:14" ht="17.25" customHeight="1" x14ac:dyDescent="0.25">
      <c r="C6" s="30" t="s">
        <v>78</v>
      </c>
      <c r="D6" s="35">
        <f t="shared" ref="D6:M6" si="0">IF(D5=0,1,SQRT((((1+((4.2980149*(D5^2))/((D5^2)-(0.192063^2))))+((0.62776557*(D5^2))/((D5^2)-(0.3787826^2))))+((2.8955633*(D5^2))/((D5^2)-(46.994595^2)))))-SQRT((((1+((3.958*(D5^2))/((D5^2)-(0.1861^2))))+((0.1413*(D5^2))/((D5^2)-(0.3371^2))))+((2.269*(D5^2))/((D5^2)-(31.36^2))))))</f>
        <v>0.18314079745493927</v>
      </c>
      <c r="E6" s="35">
        <f t="shared" si="0"/>
        <v>0.1811883324723369</v>
      </c>
      <c r="F6" s="35">
        <f t="shared" si="0"/>
        <v>0.18027070516080279</v>
      </c>
      <c r="G6" s="35">
        <f t="shared" si="0"/>
        <v>1</v>
      </c>
      <c r="H6" s="35">
        <f t="shared" si="0"/>
        <v>1</v>
      </c>
      <c r="I6" s="35">
        <f t="shared" si="0"/>
        <v>1</v>
      </c>
      <c r="J6" s="35">
        <f t="shared" si="0"/>
        <v>1</v>
      </c>
      <c r="K6" s="35">
        <f t="shared" si="0"/>
        <v>1</v>
      </c>
      <c r="L6" s="35">
        <f t="shared" si="0"/>
        <v>1</v>
      </c>
      <c r="M6" s="35">
        <f t="shared" si="0"/>
        <v>1</v>
      </c>
    </row>
    <row r="7" spans="1:14" ht="17.25" customHeight="1" x14ac:dyDescent="0.25">
      <c r="C7" s="3" t="s">
        <v>76</v>
      </c>
      <c r="D7" s="35">
        <f t="shared" ref="D7:M7" si="1">IF(D5=0,1,SQRT((((1+((3.958*(D5^2))/((D5^2)-(0.1861^2))))+((0.1413*(D5^2))/((D5^2)-(0.3371^2))))+((2.269*(D5^2))/((D5^2)-(31.36^2))))))</f>
        <v>2.2463863910727899</v>
      </c>
      <c r="E7" s="35">
        <f t="shared" si="1"/>
        <v>2.251970522968425</v>
      </c>
      <c r="F7" s="35">
        <f t="shared" si="1"/>
        <v>2.2573081787180858</v>
      </c>
      <c r="G7" s="35">
        <f t="shared" si="1"/>
        <v>1</v>
      </c>
      <c r="H7" s="35">
        <f t="shared" si="1"/>
        <v>1</v>
      </c>
      <c r="I7" s="35">
        <f t="shared" si="1"/>
        <v>1</v>
      </c>
      <c r="J7" s="35">
        <f t="shared" si="1"/>
        <v>1</v>
      </c>
      <c r="K7" s="35">
        <f t="shared" si="1"/>
        <v>1</v>
      </c>
      <c r="L7" s="35">
        <f t="shared" si="1"/>
        <v>1</v>
      </c>
      <c r="M7" s="35">
        <f t="shared" si="1"/>
        <v>1</v>
      </c>
    </row>
    <row r="8" spans="1:14" s="30" customFormat="1" ht="17.25" customHeight="1" x14ac:dyDescent="0.25">
      <c r="C8" s="3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4" ht="17.25" customHeight="1" thickBot="1" x14ac:dyDescent="0.3"/>
    <row r="10" spans="1:14" ht="17.25" customHeight="1" thickBot="1" x14ac:dyDescent="0.3">
      <c r="A10" s="30" t="s">
        <v>37</v>
      </c>
      <c r="C10" s="30" t="s">
        <v>29</v>
      </c>
      <c r="D10" s="36">
        <v>1.7</v>
      </c>
      <c r="E10" s="37">
        <v>1.5</v>
      </c>
      <c r="F10" s="37">
        <v>1.3</v>
      </c>
      <c r="G10" s="37">
        <v>1.1000000000000001</v>
      </c>
      <c r="H10" s="37">
        <v>0.9</v>
      </c>
      <c r="I10" s="37">
        <v>0.65627250000000004</v>
      </c>
      <c r="J10" s="37">
        <v>0.58756180000000002</v>
      </c>
      <c r="K10" s="37">
        <v>0.48613269999999997</v>
      </c>
      <c r="L10" s="37">
        <v>0</v>
      </c>
      <c r="M10" s="38">
        <v>0</v>
      </c>
      <c r="N10" s="32" t="s">
        <v>38</v>
      </c>
    </row>
    <row r="11" spans="1:14" ht="17.25" customHeight="1" x14ac:dyDescent="0.25">
      <c r="C11" s="30" t="s">
        <v>78</v>
      </c>
      <c r="D11" s="35">
        <f>IF(D10=0,1,SQRT(1+2.16632017887975*D10^2/(D10^2-0.102333188174171^2)+3.58573982646738*D10^2/(D10^2-15.3793385063747^2))-SQRT(1+2.13152712663324*D10^2/(D10^2-0.102367868249854^2)+3.84007574391409*D10^2/(D10^2-15.9645505397573^2)))</f>
        <v>9.8066781664283287E-3</v>
      </c>
      <c r="E11" s="35">
        <f t="shared" ref="E11:M11" si="2">IF(E10=0,1,SQRT(1+2.16632017887975*E10^2/(E10^2-0.102333188174171^2)+3.58573982646738*E10^2/(E10^2-15.3793385063747^2))-SQRT(1+2.13152712663324*E10^2/(E10^2-0.102367868249854^2)+3.84007574391409*E10^2/(E10^2-15.9645505397573^2)))</f>
        <v>9.819093159040726E-3</v>
      </c>
      <c r="F11" s="35">
        <f t="shared" si="2"/>
        <v>9.832941727992317E-3</v>
      </c>
      <c r="G11" s="35">
        <f t="shared" si="2"/>
        <v>9.8511018467306588E-3</v>
      </c>
      <c r="H11" s="35">
        <f t="shared" si="2"/>
        <v>9.8794894038805037E-3</v>
      </c>
      <c r="I11" s="35">
        <f t="shared" si="2"/>
        <v>9.9518151930140242E-3</v>
      </c>
      <c r="J11" s="35">
        <f t="shared" si="2"/>
        <v>9.9899577217923419E-3</v>
      </c>
      <c r="K11" s="35">
        <f t="shared" si="2"/>
        <v>1.0079422981556396E-2</v>
      </c>
      <c r="L11" s="35">
        <f t="shared" si="2"/>
        <v>1</v>
      </c>
      <c r="M11" s="35">
        <f t="shared" si="2"/>
        <v>1</v>
      </c>
      <c r="N11" s="32" t="s">
        <v>39</v>
      </c>
    </row>
    <row r="12" spans="1:14" ht="17.25" customHeight="1" x14ac:dyDescent="0.25">
      <c r="C12" s="3" t="s">
        <v>76</v>
      </c>
      <c r="D12" s="35">
        <f>IF(D10=0,1,SQRT(1+2.13152712663324*D10^2/(D10^2-0.102367868249854^2)+3.84007574391409*D10^2/(D10^2-15.9645505397573^2)))</f>
        <v>1.7593297574274396</v>
      </c>
      <c r="E12" s="35">
        <f t="shared" ref="E12:M12" si="3">IF(E10=0,1,SQRT(1+2.13152712663324*E10^2/(E10^2-0.102367868249854^2)+3.84007574391409*E10^2/(E10^2-15.9645505397573^2)))</f>
        <v>1.7627530504439888</v>
      </c>
      <c r="F12" s="35">
        <f t="shared" si="3"/>
        <v>1.7661238265931127</v>
      </c>
      <c r="G12" s="35">
        <f t="shared" si="3"/>
        <v>1.7696978340273182</v>
      </c>
      <c r="H12" s="35">
        <f t="shared" si="3"/>
        <v>1.7740410121692642</v>
      </c>
      <c r="I12" s="35">
        <f t="shared" si="3"/>
        <v>1.7827457106300177</v>
      </c>
      <c r="J12" s="35">
        <f t="shared" si="3"/>
        <v>1.7869093317209597</v>
      </c>
      <c r="K12" s="35">
        <f t="shared" si="3"/>
        <v>1.7963477823571783</v>
      </c>
      <c r="L12" s="35">
        <f t="shared" si="3"/>
        <v>1</v>
      </c>
      <c r="M12" s="35">
        <f t="shared" si="3"/>
        <v>1</v>
      </c>
    </row>
    <row r="13" spans="1:14" s="30" customFormat="1" ht="17.25" customHeight="1" x14ac:dyDescent="0.25">
      <c r="C13" s="3"/>
      <c r="D13" s="34"/>
      <c r="E13" s="34"/>
      <c r="F13" s="34"/>
      <c r="G13" s="34"/>
      <c r="H13" s="34"/>
      <c r="I13" s="34"/>
      <c r="J13" s="34"/>
      <c r="K13" s="34"/>
      <c r="L13" s="34"/>
      <c r="M13" s="34"/>
    </row>
    <row r="14" spans="1:14" ht="17.25" customHeight="1" thickBot="1" x14ac:dyDescent="0.3">
      <c r="D14" s="33"/>
    </row>
    <row r="15" spans="1:14" ht="17.25" customHeight="1" thickBot="1" x14ac:dyDescent="0.3">
      <c r="A15" s="30" t="s">
        <v>111</v>
      </c>
      <c r="B15" s="30"/>
      <c r="C15" s="30" t="s">
        <v>29</v>
      </c>
      <c r="D15" s="36">
        <v>1.7</v>
      </c>
      <c r="E15" s="37">
        <v>1.5</v>
      </c>
      <c r="F15" s="37">
        <v>1.3</v>
      </c>
      <c r="G15" s="37">
        <v>1.1000000000000001</v>
      </c>
      <c r="H15" s="37">
        <v>0.9</v>
      </c>
      <c r="I15" s="37">
        <v>0.65627250000000004</v>
      </c>
      <c r="J15" s="37">
        <v>0.58756180000000002</v>
      </c>
      <c r="K15" s="37">
        <v>0.48613269999999997</v>
      </c>
      <c r="L15" s="37">
        <v>0</v>
      </c>
      <c r="M15" s="38">
        <v>0</v>
      </c>
    </row>
    <row r="16" spans="1:14" ht="17.25" customHeight="1" x14ac:dyDescent="0.25">
      <c r="A16" s="85" t="s">
        <v>101</v>
      </c>
      <c r="B16" s="85"/>
      <c r="C16" s="30" t="s">
        <v>78</v>
      </c>
      <c r="D16" s="34">
        <f>IF(D15=0,1,(SQRT(1+1.48383948081742*D15^2/(D15^2-0.009515430158582)+0.101361576536076*D15^2/(D15^2-0.061854685532622)+1.1799453506993*D15^2/(D15^2-105.796307453159))-SQRT(1+1.31043485973961*D15^2/(D15^2-0.008492727563097)+0.145173226568241*D15^2/(D15^2-0.049931727787554)+0.973996052889187*D15^2/(D15^2-108.814405813622))))</f>
        <v>3.915208861906061E-2</v>
      </c>
      <c r="E16" s="34">
        <f t="shared" ref="E16:M16" si="4">IF(E15=0,1,(SQRT(1+1.48383948081742*E15^2/(E15^2-0.009515430158582)+0.101361576536076*E15^2/(E15^2-0.061854685532622)+1.1799453506993*E15^2/(E15^2-105.796307453159))-SQRT(1+1.31043485973961*E15^2/(E15^2-0.008492727563097)+0.145173226568241*E15^2/(E15^2-0.049931727787554)+0.973996052889187*E15^2/(E15^2-108.814405813622))))</f>
        <v>3.9618588702572843E-2</v>
      </c>
      <c r="F16" s="34">
        <f t="shared" si="4"/>
        <v>4.0051737927826014E-2</v>
      </c>
      <c r="G16" s="34">
        <f t="shared" si="4"/>
        <v>4.0474202786931368E-2</v>
      </c>
      <c r="H16" s="34">
        <f t="shared" si="4"/>
        <v>4.0935362985737633E-2</v>
      </c>
      <c r="I16" s="34">
        <f t="shared" si="4"/>
        <v>4.1772307571138256E-2</v>
      </c>
      <c r="J16" s="34">
        <f t="shared" si="4"/>
        <v>4.217452149816836E-2</v>
      </c>
      <c r="K16" s="34">
        <f t="shared" si="4"/>
        <v>4.3176462076637945E-2</v>
      </c>
      <c r="L16" s="34">
        <f t="shared" si="4"/>
        <v>1</v>
      </c>
      <c r="M16" s="34">
        <f t="shared" si="4"/>
        <v>1</v>
      </c>
    </row>
    <row r="17" spans="1:13" ht="17.25" customHeight="1" x14ac:dyDescent="0.25">
      <c r="A17" s="85"/>
      <c r="B17" s="85"/>
      <c r="C17" s="3" t="s">
        <v>76</v>
      </c>
      <c r="D17" s="57">
        <f>IF(D15=0,1,(SQRT(1+1.31043485973961*D15^2/(D15^2-0.008492727563097)+0.145173226568241*D15^2/(D15^2-0.049931727787554)+0.973996052889187*D15^2/(D15^2-108.814405813622))))</f>
        <v>1.5605923706699036</v>
      </c>
      <c r="E17" s="57">
        <f t="shared" ref="E17:M17" si="5">IF(E15=0,1,(SQRT(1+1.31043485973961*E15^2/(E15^2-0.008492727563097)+0.145173226568241*E15^2/(E15^2-0.049931727787554)+0.973996052889187*E15^2/(E15^2-108.814405813622))))</f>
        <v>1.5631068301779583</v>
      </c>
      <c r="F17" s="57">
        <f t="shared" si="5"/>
        <v>1.565656612061826</v>
      </c>
      <c r="G17" s="57">
        <f t="shared" si="5"/>
        <v>1.5684918968857997</v>
      </c>
      <c r="H17" s="57">
        <f t="shared" si="5"/>
        <v>1.5721722815348376</v>
      </c>
      <c r="I17" s="57">
        <f t="shared" si="5"/>
        <v>1.5802325808496642</v>
      </c>
      <c r="J17" s="57">
        <f t="shared" si="5"/>
        <v>1.5843312566360417</v>
      </c>
      <c r="K17" s="57">
        <f t="shared" si="5"/>
        <v>1.5941222522555414</v>
      </c>
      <c r="L17" s="57">
        <f t="shared" si="5"/>
        <v>1</v>
      </c>
      <c r="M17" s="57">
        <f t="shared" si="5"/>
        <v>1</v>
      </c>
    </row>
    <row r="19" spans="1:13" ht="15.75" thickBot="1" x14ac:dyDescent="0.3"/>
    <row r="20" spans="1:13" ht="15.75" thickBot="1" x14ac:dyDescent="0.3">
      <c r="A20" s="30" t="s">
        <v>110</v>
      </c>
      <c r="B20" s="30"/>
      <c r="C20" s="72" t="s">
        <v>29</v>
      </c>
      <c r="D20" s="37">
        <v>0.65627250000000004</v>
      </c>
      <c r="E20" s="37">
        <v>0.58756180000000002</v>
      </c>
      <c r="F20" s="37">
        <v>0.48613269999999997</v>
      </c>
      <c r="G20" s="37">
        <v>0</v>
      </c>
      <c r="H20" s="37">
        <v>0</v>
      </c>
      <c r="I20" s="64">
        <v>0</v>
      </c>
      <c r="J20" s="64">
        <v>0</v>
      </c>
      <c r="K20" s="64">
        <v>0</v>
      </c>
      <c r="L20" s="37">
        <v>0</v>
      </c>
      <c r="M20" s="38">
        <v>0</v>
      </c>
    </row>
    <row r="21" spans="1:13" ht="15" customHeight="1" x14ac:dyDescent="0.25">
      <c r="A21" s="85" t="s">
        <v>109</v>
      </c>
      <c r="B21" s="85"/>
      <c r="C21" s="30" t="s">
        <v>78</v>
      </c>
      <c r="D21" s="65">
        <f t="shared" ref="D21:M21" si="6" xml:space="preserve"> IF(D20=0,1,SQRT( 1+1.246*D20^2/(D20^2-0.01065) + 0.2036*D20^2/(D20^2-0.05793) + 0.0005*D20^2/(D20^2-10))-SQRT( 1+1.003*D20^2/(D20^2-0.00349) + 0.189*D20^2/(D20^2-0.0389) + 0.05013*D20^2/(D20^2-16.37)))</f>
        <v>9.6022164092441464E-2</v>
      </c>
      <c r="E21" s="65">
        <f t="shared" si="6"/>
        <v>9.899238610306571E-2</v>
      </c>
      <c r="F21" s="65">
        <f t="shared" si="6"/>
        <v>0.10668093159130776</v>
      </c>
      <c r="G21" s="57">
        <f t="shared" si="6"/>
        <v>1</v>
      </c>
      <c r="H21" s="57">
        <f t="shared" si="6"/>
        <v>1</v>
      </c>
      <c r="I21" s="57">
        <f t="shared" si="6"/>
        <v>1</v>
      </c>
      <c r="J21" s="57">
        <f t="shared" si="6"/>
        <v>1</v>
      </c>
      <c r="K21" s="57">
        <f t="shared" si="6"/>
        <v>1</v>
      </c>
      <c r="L21" s="57">
        <f t="shared" si="6"/>
        <v>1</v>
      </c>
      <c r="M21" s="57">
        <f t="shared" si="6"/>
        <v>1</v>
      </c>
    </row>
    <row r="22" spans="1:13" x14ac:dyDescent="0.25">
      <c r="A22" s="85"/>
      <c r="B22" s="85"/>
      <c r="C22" s="3" t="s">
        <v>76</v>
      </c>
      <c r="D22" s="66">
        <f xml:space="preserve"> IF(D20=0,1,SQRT( 1+1.003*D20^2/(D20^2-0.00349) + 0.189*D20^2/(D20^2-0.0389) + 0.05013*D20^2/(D20^2-16.37)))</f>
        <v>1.4891623812948871</v>
      </c>
      <c r="E22" s="66">
        <f t="shared" ref="E22:M22" si="7" xml:space="preserve"> IF(E20=0,1,SQRT( 1+1.003*E20^2/(E20^2-0.00349) + 0.189*E20^2/(E20^2-0.0389) + 0.05013*E20^2/(E20^2-16.37)))</f>
        <v>1.4916982994152368</v>
      </c>
      <c r="F22" s="66">
        <f t="shared" si="7"/>
        <v>1.4978450473911333</v>
      </c>
      <c r="G22" s="57">
        <f t="shared" si="7"/>
        <v>1</v>
      </c>
      <c r="H22" s="57">
        <f t="shared" si="7"/>
        <v>1</v>
      </c>
      <c r="I22" s="57">
        <f t="shared" si="7"/>
        <v>1</v>
      </c>
      <c r="J22" s="57">
        <f t="shared" si="7"/>
        <v>1</v>
      </c>
      <c r="K22" s="57">
        <f t="shared" si="7"/>
        <v>1</v>
      </c>
      <c r="L22" s="57">
        <f t="shared" si="7"/>
        <v>1</v>
      </c>
      <c r="M22" s="57">
        <f t="shared" si="7"/>
        <v>1</v>
      </c>
    </row>
    <row r="23" spans="1:13" x14ac:dyDescent="0.25">
      <c r="A23" s="56"/>
      <c r="B23" s="56"/>
      <c r="C23" s="56"/>
      <c r="D23" s="56"/>
      <c r="E23" s="56"/>
      <c r="F23" s="30"/>
      <c r="G23" s="30"/>
      <c r="H23" s="30"/>
      <c r="I23" s="30"/>
      <c r="J23" s="30"/>
      <c r="K23" s="30"/>
      <c r="L23" s="30"/>
      <c r="M23" s="30"/>
    </row>
    <row r="24" spans="1:13" x14ac:dyDescent="0.25">
      <c r="A24" s="30"/>
      <c r="B24" s="30"/>
      <c r="C24" s="41"/>
      <c r="D24" s="67"/>
      <c r="E24" s="67"/>
      <c r="F24" s="67"/>
      <c r="G24" s="67"/>
      <c r="H24" s="67"/>
      <c r="I24" s="67"/>
      <c r="J24" s="67"/>
      <c r="K24" s="67"/>
      <c r="L24" s="67"/>
      <c r="M24" s="67"/>
    </row>
    <row r="25" spans="1:13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</row>
  </sheetData>
  <mergeCells count="2">
    <mergeCell ref="A16:B17"/>
    <mergeCell ref="A21:B2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I10" sqref="I10"/>
    </sheetView>
  </sheetViews>
  <sheetFormatPr defaultRowHeight="15" x14ac:dyDescent="0.25"/>
  <cols>
    <col min="1" max="1" width="12.7109375" style="30" bestFit="1" customWidth="1"/>
    <col min="2" max="2" width="23.140625" bestFit="1" customWidth="1"/>
    <col min="3" max="3" width="7.42578125" customWidth="1"/>
    <col min="4" max="4" width="16.42578125" customWidth="1"/>
    <col min="5" max="5" width="9.140625" customWidth="1"/>
  </cols>
  <sheetData>
    <row r="1" spans="1:17" ht="15.75" thickBot="1" x14ac:dyDescent="0.3">
      <c r="D1" s="30" t="s">
        <v>29</v>
      </c>
      <c r="E1" s="60">
        <v>1.7</v>
      </c>
      <c r="F1" s="61">
        <v>1.5</v>
      </c>
      <c r="G1" s="61">
        <v>1.3</v>
      </c>
      <c r="H1" s="61">
        <v>1.1000000000000001</v>
      </c>
      <c r="I1" s="61">
        <v>0.9</v>
      </c>
      <c r="J1" s="61">
        <v>0.65627250000000004</v>
      </c>
      <c r="K1" s="61">
        <v>0.58756180000000002</v>
      </c>
      <c r="L1" s="61">
        <v>0.48613269999999997</v>
      </c>
      <c r="M1" s="61">
        <v>0</v>
      </c>
      <c r="N1" s="62">
        <v>0</v>
      </c>
    </row>
    <row r="2" spans="1:17" ht="15.75" thickBot="1" x14ac:dyDescent="0.3">
      <c r="A2" s="1" t="s">
        <v>82</v>
      </c>
      <c r="B2" s="22" t="s">
        <v>106</v>
      </c>
      <c r="D2" s="30" t="s">
        <v>78</v>
      </c>
      <c r="E2">
        <f>IF($E$4&lt;=$E$5,E5-E4,E4-E5)</f>
        <v>0.10000000000000009</v>
      </c>
      <c r="F2" s="30">
        <f t="shared" ref="F2:N2" si="0">IF($E$4&lt;=$E$5,F5-F4,F4-F5)</f>
        <v>0.10000000000000009</v>
      </c>
      <c r="G2" s="30">
        <f t="shared" si="0"/>
        <v>0.10000000000000009</v>
      </c>
      <c r="H2" s="30">
        <f t="shared" si="0"/>
        <v>0.10000000000000009</v>
      </c>
      <c r="I2" s="30">
        <f t="shared" si="0"/>
        <v>0.10000000000000009</v>
      </c>
      <c r="J2" s="30">
        <f t="shared" si="0"/>
        <v>0.10000000000000009</v>
      </c>
      <c r="K2" s="30">
        <f t="shared" si="0"/>
        <v>0.10000000000000009</v>
      </c>
      <c r="L2" s="30">
        <f t="shared" si="0"/>
        <v>0.10000000000000009</v>
      </c>
      <c r="M2" s="30">
        <f t="shared" si="0"/>
        <v>0</v>
      </c>
      <c r="N2" s="30">
        <f t="shared" si="0"/>
        <v>0</v>
      </c>
    </row>
    <row r="3" spans="1:17" ht="15.75" thickBot="1" x14ac:dyDescent="0.3">
      <c r="A3" s="1" t="s">
        <v>83</v>
      </c>
      <c r="B3" s="22" t="s">
        <v>105</v>
      </c>
      <c r="D3" s="30" t="s">
        <v>76</v>
      </c>
      <c r="E3">
        <f>IF($E$4&lt;=$E$5,E4,E5)</f>
        <v>1.5</v>
      </c>
      <c r="F3" s="30">
        <f t="shared" ref="F3:N3" si="1">IF($E$4&lt;=$E$5,F4,F5)</f>
        <v>1.5</v>
      </c>
      <c r="G3" s="30">
        <f t="shared" si="1"/>
        <v>1.5</v>
      </c>
      <c r="H3" s="30">
        <f t="shared" si="1"/>
        <v>1.5</v>
      </c>
      <c r="I3" s="30">
        <f t="shared" si="1"/>
        <v>1.5</v>
      </c>
      <c r="J3" s="30">
        <f t="shared" si="1"/>
        <v>1.5</v>
      </c>
      <c r="K3" s="30">
        <f t="shared" si="1"/>
        <v>1.5</v>
      </c>
      <c r="L3" s="30">
        <f t="shared" si="1"/>
        <v>1.5</v>
      </c>
      <c r="M3" s="30">
        <f t="shared" si="1"/>
        <v>0</v>
      </c>
      <c r="N3" s="30">
        <f t="shared" si="1"/>
        <v>0</v>
      </c>
    </row>
    <row r="4" spans="1:17" hidden="1" x14ac:dyDescent="0.25">
      <c r="D4" s="30" t="s">
        <v>76</v>
      </c>
      <c r="E4">
        <f t="shared" ref="E4:N4" si="2">IF($B$2=$B12,1,0)*E12+IF($B$2=$B13,1,0)*E13+IF($B$2=$B15,1,0)*E15+IF($B$2=$B14,1,0)*E14+IF($B$2=$B16,1,0)*E16+IF($B$2=$B17,1,0)*E17+IF($B$2=$B18,1,0)*E18+IF($B$2=$B19,1,0)*E19+IF($B$2=$B20,1,0)*E20+IF($B$2=$B21,1,0)*E21+IF($B$2=$B22,1,0)*E22+IF($B$2=$B10,1,0)*E10+IF($B$2=$B11,1,0)*E11+IF($B$2=$B23,1,0)*E23+IF($B$2=$B24,1,0)*E24+IF($B$2=$B25,1,0)*E25+IF($B$2=$B26,1,0)*E26+IF($B$2=$B27,1,0)*E27+IF($B$2=$B28,1,0)*E28+IF($B$2=$B29,1,0)*E29+IF($B$2=$B30,1,0)*E30+IF($B$2=$B31,1,0)*E31+IF($B$2=$B32,1,0)*E32+IF($B$2=$B33,1,0)*E33+IF($B$2=$B34,1,0)*E34+IF($B$2=$B35,1,0)*E35+IF($B$2=$B36,1,0)*E36+IF($B$2=$B37,1,0)*E37+IF($B$2=$B38,1,0)*E38+IF($B$2=$B39,1,0)*E39+IF($B$2=$B40,1,0)*E40+IF($B$2=$B41,1,0)*E41+IF($B$2=$B42,1,0)*E42+IF($B$2=$B43,1,0)*E43+IF($B$2=$B44,1,0)*E44+IF($B$2=$B45,1,0)*E45+IF($B$2=$B46,1,0)*E46+IF($B$2=$B47,1,0)*E47+IF($B$2=$B48,1,0)*E48+IF($B$2=$B49,1,0)*E49+IF($B$2=$B50,1,0)*E50+IF($B$2=$B51,1,0)*E51</f>
        <v>1.5</v>
      </c>
      <c r="F4" s="30">
        <f t="shared" si="2"/>
        <v>1.5</v>
      </c>
      <c r="G4" s="30">
        <f t="shared" si="2"/>
        <v>1.5</v>
      </c>
      <c r="H4" s="30">
        <f t="shared" si="2"/>
        <v>1.5</v>
      </c>
      <c r="I4" s="30">
        <f t="shared" si="2"/>
        <v>1.5</v>
      </c>
      <c r="J4" s="30">
        <f t="shared" si="2"/>
        <v>1.5</v>
      </c>
      <c r="K4" s="30">
        <f t="shared" si="2"/>
        <v>1.5</v>
      </c>
      <c r="L4" s="30">
        <f t="shared" si="2"/>
        <v>1.5</v>
      </c>
      <c r="M4" s="30">
        <f t="shared" si="2"/>
        <v>0</v>
      </c>
      <c r="N4" s="30">
        <f t="shared" si="2"/>
        <v>0</v>
      </c>
    </row>
    <row r="5" spans="1:17" hidden="1" x14ac:dyDescent="0.25">
      <c r="D5" s="41" t="s">
        <v>77</v>
      </c>
      <c r="E5" s="30">
        <f t="shared" ref="E5:N5" si="3">IF($B$3=$B12,1,0)*E12+IF($B$3=$B13,1,0)*E13+IF($B$3=$B15,1,0)*E15+IF($B$3=$B14,1,0)*E14+IF($B$3=$B16,1,0)*E16+IF($B$3=$B17,1,0)*E17+IF($B$3=$B18,1,0)*E18+IF($B$3=$B19,1,0)*E19+IF($B$3=$B20,1,0)*E20+IF($B$3=$B21,1,0)*E21+IF($B$3=$B22,1,0)*E22+IF($B$3=$B10,1,0)*E10+IF($B$3=$B11,1,0)*E11+IF($B$3=$B23,1,0)*E23+IF($B$3=$B24,1,0)*E24+IF($B$3=$B25,1,0)*E25+IF($B$3=$B26,1,0)*E26+IF($B$3=$B27,1,0)*E27+IF($B$3=$B28,1,0)*E28+IF($B$3=$B29,1,0)*E29+IF($B$3=$B30,1,0)*E30+IF($B$3=$B31,1,0)*E31+IF($B$3=$B32,1,0)*E32+IF($B$3=$B33,1,0)*E33+IF($B$3=$B34,1,0)*E34+IF($B$3=$B35,1,0)*E35+IF($B$3=$B36,1,0)*E36+IF($B$3=$B37,1,0)*E37+IF($B$3=$B38,1,0)*E38+IF($B$3=$B39,1,0)*E39+IF($B$3=$B40,1,0)*E40+IF($B$3=$B41,1,0)*E41+IF($B$3=$B42,1,0)*E42+IF($B$3=$B43,1,0)*E43+IF($B$3=$B44,1,0)*E44+IF($B$3=$B45,1,0)*E45+IF($B$3=$B46,1,0)*E46+IF($B$3=$B47,1,0)*E47+IF($B$3=$B48,1,0)*E48+IF($B$3=$B49,1,0)*E49+IF($B$3=$B50,1,0)*E50+IF($B$3=$B51,1,0)*E51</f>
        <v>1.6</v>
      </c>
      <c r="F5" s="30">
        <f t="shared" si="3"/>
        <v>1.6</v>
      </c>
      <c r="G5" s="30">
        <f t="shared" si="3"/>
        <v>1.6</v>
      </c>
      <c r="H5" s="30">
        <f t="shared" si="3"/>
        <v>1.6</v>
      </c>
      <c r="I5" s="30">
        <f t="shared" si="3"/>
        <v>1.6</v>
      </c>
      <c r="J5" s="30">
        <f t="shared" si="3"/>
        <v>1.6</v>
      </c>
      <c r="K5" s="30">
        <f t="shared" si="3"/>
        <v>1.6</v>
      </c>
      <c r="L5" s="30">
        <f t="shared" si="3"/>
        <v>1.6</v>
      </c>
      <c r="M5" s="30">
        <f t="shared" si="3"/>
        <v>0</v>
      </c>
      <c r="N5" s="30">
        <f t="shared" si="3"/>
        <v>0</v>
      </c>
    </row>
    <row r="6" spans="1:17" s="30" customFormat="1" x14ac:dyDescent="0.25">
      <c r="D6" s="41"/>
    </row>
    <row r="7" spans="1:17" s="30" customFormat="1" ht="30" customHeight="1" x14ac:dyDescent="0.25">
      <c r="A7" s="86" t="s">
        <v>93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59"/>
      <c r="P7" s="59"/>
      <c r="Q7" s="59"/>
    </row>
    <row r="8" spans="1:17" s="30" customFormat="1" x14ac:dyDescent="0.25">
      <c r="D8" s="41"/>
    </row>
    <row r="9" spans="1:17" ht="30" customHeight="1" x14ac:dyDescent="0.25">
      <c r="B9" s="87" t="s">
        <v>94</v>
      </c>
      <c r="C9" s="87"/>
      <c r="D9" s="87"/>
      <c r="K9" s="30"/>
    </row>
    <row r="10" spans="1:17" x14ac:dyDescent="0.25">
      <c r="B10" s="71" t="s">
        <v>113</v>
      </c>
      <c r="C10" s="58"/>
      <c r="D10" s="30"/>
      <c r="E10" s="68">
        <f xml:space="preserve"> IF(E1=0,1,SQRT( 1+1.246*E1^2/(E1^2-0.01065) + 0.2036*E1^2/(E1^2-0.05793) + 0.0005*E1^2/(E1^2-10)))</f>
        <v>1.5678552382211646</v>
      </c>
      <c r="F10" s="68">
        <f t="shared" ref="F10:N10" si="4" xml:space="preserve"> IF(F1=0,1,SQRT( 1+1.246*F1^2/(F1^2-0.01065) + 0.2036*F1^2/(F1^2-0.05793) + 0.0005*F1^2/(F1^2-10)))</f>
        <v>1.5686813485768805</v>
      </c>
      <c r="G10" s="68">
        <f t="shared" si="4"/>
        <v>1.5699130116123319</v>
      </c>
      <c r="H10" s="68">
        <f t="shared" si="4"/>
        <v>1.5718883916334414</v>
      </c>
      <c r="I10" s="68">
        <f t="shared" si="4"/>
        <v>1.575385531572808</v>
      </c>
      <c r="J10" s="68">
        <f t="shared" si="4"/>
        <v>1.5851845453873286</v>
      </c>
      <c r="K10" s="68">
        <f t="shared" si="4"/>
        <v>1.5906906855183025</v>
      </c>
      <c r="L10" s="68">
        <f t="shared" si="4"/>
        <v>1.6045259789824411</v>
      </c>
      <c r="M10" s="57">
        <f xml:space="preserve"> IF(M1=0,1,SQRT( 1+1.246*M1^2/(M1^2-0.01065) + 0.2036*M1^2/(M1^2-0.05793) + 0.0005*M1^2/(M1^2-10)))</f>
        <v>1</v>
      </c>
      <c r="N10" s="57">
        <f t="shared" si="4"/>
        <v>1</v>
      </c>
    </row>
    <row r="11" spans="1:17" x14ac:dyDescent="0.25">
      <c r="B11" s="71" t="s">
        <v>112</v>
      </c>
      <c r="C11" s="58"/>
      <c r="D11" s="3"/>
      <c r="E11" s="69">
        <f xml:space="preserve"> IF(E1=0,1,SQRT( 1+1.003*E1^2/(E1^2-0.00349) + 0.189*E1^2/(E1^2-0.0389) + 0.05013*E1^2/(E1^2-16.37)))</f>
        <v>1.4781894104623152</v>
      </c>
      <c r="F11" s="57">
        <f t="shared" ref="F11:N11" si="5" xml:space="preserve"> IF(F1=0,1,SQRT( 1+1.003*F1^2/(F1^2-0.00349) + 0.189*F1^2/(F1^2-0.0389) + 0.05013*F1^2/(F1^2-16.37)))</f>
        <v>1.4794915109671403</v>
      </c>
      <c r="G11" s="57">
        <f t="shared" si="5"/>
        <v>1.4807961787989734</v>
      </c>
      <c r="H11" s="57">
        <f t="shared" si="5"/>
        <v>1.4822881370813354</v>
      </c>
      <c r="I11" s="57">
        <f t="shared" si="5"/>
        <v>1.4843399996178785</v>
      </c>
      <c r="J11" s="57">
        <f t="shared" si="5"/>
        <v>1.4891623812948871</v>
      </c>
      <c r="K11" s="57">
        <f t="shared" si="5"/>
        <v>1.4916982994152368</v>
      </c>
      <c r="L11" s="57">
        <f t="shared" si="5"/>
        <v>1.4978450473911333</v>
      </c>
      <c r="M11" s="57">
        <f t="shared" si="5"/>
        <v>1</v>
      </c>
      <c r="N11" s="57">
        <f t="shared" si="5"/>
        <v>1</v>
      </c>
    </row>
    <row r="12" spans="1:17" x14ac:dyDescent="0.25">
      <c r="B12" s="30" t="s">
        <v>37</v>
      </c>
      <c r="C12" s="30"/>
      <c r="D12" s="3"/>
      <c r="E12" s="69">
        <f t="shared" ref="E12:N12" si="6">IF(E1=0,1,SQRT(ABS(1+2.13152712663324*E1^2/(E1^2-0.102367868249854^2)+3.84007574391409*E1^2/(E1^2-15.9645505397573^2))))</f>
        <v>1.7593297574274396</v>
      </c>
      <c r="F12" s="57">
        <f t="shared" si="6"/>
        <v>1.7627530504439888</v>
      </c>
      <c r="G12" s="57">
        <f t="shared" si="6"/>
        <v>1.7661238265931127</v>
      </c>
      <c r="H12" s="57">
        <f t="shared" si="6"/>
        <v>1.7696978340273182</v>
      </c>
      <c r="I12" s="57">
        <f t="shared" si="6"/>
        <v>1.7740410121692642</v>
      </c>
      <c r="J12" s="57">
        <f t="shared" si="6"/>
        <v>1.7827457106300177</v>
      </c>
      <c r="K12" s="57">
        <f t="shared" si="6"/>
        <v>1.7869093317209597</v>
      </c>
      <c r="L12" s="57">
        <f t="shared" si="6"/>
        <v>1.7963477823571783</v>
      </c>
      <c r="M12" s="57">
        <f t="shared" si="6"/>
        <v>1</v>
      </c>
      <c r="N12" s="57">
        <f t="shared" si="6"/>
        <v>1</v>
      </c>
    </row>
    <row r="13" spans="1:17" s="30" customFormat="1" x14ac:dyDescent="0.25">
      <c r="B13" s="30" t="s">
        <v>79</v>
      </c>
      <c r="D13" s="41"/>
      <c r="E13" s="70">
        <f t="shared" ref="E13:N13" si="7">IF(E1=0,1,SQRT(ABS(1+2.16632017887975*E1^2/(E1^2-0.102333188174171^2)+3.58573982646738*E1^2/(E1^2-15.3793385063747^2))))</f>
        <v>1.7691364355938679</v>
      </c>
      <c r="F13" s="30">
        <f t="shared" si="7"/>
        <v>1.7725721436030295</v>
      </c>
      <c r="G13" s="30">
        <f t="shared" si="7"/>
        <v>1.7759567683211051</v>
      </c>
      <c r="H13" s="30">
        <f t="shared" si="7"/>
        <v>1.7795489358740488</v>
      </c>
      <c r="I13" s="30">
        <f t="shared" si="7"/>
        <v>1.7839205015731447</v>
      </c>
      <c r="J13" s="30">
        <f t="shared" si="7"/>
        <v>1.7926975258230318</v>
      </c>
      <c r="K13" s="30">
        <f t="shared" si="7"/>
        <v>1.796899289442752</v>
      </c>
      <c r="L13" s="30">
        <f t="shared" si="7"/>
        <v>1.8064272053387347</v>
      </c>
      <c r="M13" s="30">
        <f t="shared" si="7"/>
        <v>1</v>
      </c>
      <c r="N13" s="30">
        <f t="shared" si="7"/>
        <v>1</v>
      </c>
    </row>
    <row r="14" spans="1:17" x14ac:dyDescent="0.25">
      <c r="B14" s="30" t="s">
        <v>81</v>
      </c>
      <c r="C14" s="30"/>
      <c r="D14" s="3"/>
      <c r="E14" s="69">
        <f t="shared" ref="E14:N14" si="8">IF(E1=0,1,SQRT(ABS((((1+((3.958*(E1^2))/((E1^2)-(0.1861^2))))+((0.1413*(E1^2))/((E1^2)-(0.3371^2))))+((2.269*(E1^2))/((E1^2)-(31.36^2)))))))</f>
        <v>2.2685685384111332</v>
      </c>
      <c r="F14" s="57">
        <f t="shared" si="8"/>
        <v>2.2723311786647558</v>
      </c>
      <c r="G14" s="57">
        <f t="shared" si="8"/>
        <v>2.277803441493115</v>
      </c>
      <c r="H14" s="57">
        <f t="shared" si="8"/>
        <v>2.2864331012480883</v>
      </c>
      <c r="I14" s="57">
        <f t="shared" si="8"/>
        <v>2.3015818969548452</v>
      </c>
      <c r="J14" s="57">
        <f t="shared" si="8"/>
        <v>2.3441530649906879</v>
      </c>
      <c r="K14" s="57">
        <f t="shared" si="8"/>
        <v>2.368369759741169</v>
      </c>
      <c r="L14" s="57">
        <f t="shared" si="8"/>
        <v>2.4308993024791463</v>
      </c>
      <c r="M14" s="57">
        <f t="shared" si="8"/>
        <v>1</v>
      </c>
      <c r="N14" s="57">
        <f t="shared" si="8"/>
        <v>1</v>
      </c>
    </row>
    <row r="15" spans="1:17" x14ac:dyDescent="0.25">
      <c r="A15" s="30" t="s">
        <v>89</v>
      </c>
      <c r="B15" s="30" t="s">
        <v>80</v>
      </c>
      <c r="C15" s="30"/>
      <c r="D15" s="30"/>
      <c r="E15" s="69">
        <f t="shared" ref="E15:N15" si="9">IF(E1=0,1,SQRT(ABS((((1+((4.2980149*(E1^2))/((E1^2)-(0.192063^2))))+((0.62776557*(E1^2))/((E1^2)-(0.3787826^2))))+((2.8955633*(E1^2))/((E1^2)-(46.994595^2)))))))</f>
        <v>2.4516014978598233</v>
      </c>
      <c r="F15" s="57">
        <f t="shared" si="9"/>
        <v>2.4570763667725912</v>
      </c>
      <c r="G15" s="57">
        <f t="shared" si="9"/>
        <v>2.4653013139158384</v>
      </c>
      <c r="H15" s="57">
        <f t="shared" si="9"/>
        <v>2.478667899515131</v>
      </c>
      <c r="I15" s="57">
        <f t="shared" si="9"/>
        <v>2.5029834967161446</v>
      </c>
      <c r="J15" s="57">
        <f t="shared" si="9"/>
        <v>2.5770931219917328</v>
      </c>
      <c r="K15" s="57">
        <f t="shared" si="9"/>
        <v>2.6241101277924117</v>
      </c>
      <c r="L15" s="57">
        <f t="shared" si="9"/>
        <v>2.773176115059699</v>
      </c>
      <c r="M15" s="57">
        <f t="shared" si="9"/>
        <v>1</v>
      </c>
      <c r="N15" s="57">
        <f t="shared" si="9"/>
        <v>1</v>
      </c>
    </row>
    <row r="16" spans="1:17" x14ac:dyDescent="0.25">
      <c r="A16" s="30">
        <v>20</v>
      </c>
      <c r="B16" s="30" t="s">
        <v>84</v>
      </c>
      <c r="E16" s="70">
        <f t="shared" ref="E16:N16" si="10">IF(E1=0,1,SQRT(ABS(3.48125 - 0.000706*$A16+(2.81578+0.001053*$A16)*E$1^2/(E$1^2-(0.13451))+(0.95873+0.000062*$A16)*E$1^2/(E$1^2-(1395.5)))))</f>
        <v>2.5378059331635066</v>
      </c>
      <c r="F16" s="30">
        <f t="shared" si="10"/>
        <v>2.5461334580299648</v>
      </c>
      <c r="G16" s="30">
        <f t="shared" si="10"/>
        <v>2.5589294542868464</v>
      </c>
      <c r="H16" s="30">
        <f t="shared" si="10"/>
        <v>2.5802977435927374</v>
      </c>
      <c r="I16" s="30">
        <f t="shared" si="10"/>
        <v>2.6207462799619416</v>
      </c>
      <c r="J16" s="30">
        <f t="shared" si="10"/>
        <v>2.7553597725701171</v>
      </c>
      <c r="K16" s="30">
        <f t="shared" si="10"/>
        <v>2.8486131882597103</v>
      </c>
      <c r="L16" s="30">
        <f t="shared" si="10"/>
        <v>3.1704286853730079</v>
      </c>
      <c r="M16" s="30">
        <f t="shared" si="10"/>
        <v>1</v>
      </c>
      <c r="N16" s="30">
        <f t="shared" si="10"/>
        <v>1</v>
      </c>
    </row>
    <row r="17" spans="1:14" x14ac:dyDescent="0.25">
      <c r="A17" s="30">
        <v>20</v>
      </c>
      <c r="B17" s="30" t="s">
        <v>85</v>
      </c>
      <c r="E17" s="70">
        <f t="shared" ref="E17:N17" si="11">IF(E1=0,1,SQRT(ABS(1+9.1325 - 4.5462*EXP(0.00057621*($A17+273.15))+(-4.2472 + 6.3237*EXP(0.00049808*($A17+273.15)))*E$1^2/(E$1^2-(0.368 + 0.1771*EXP(-0.0010444*($A17+273.15)))^2)+(0.5059 + 49.9978*EXP(-0.016089*($A17+273.15)))*E$1^2/(E$1^2-(29.4566 + 372.6114*EXP(-0.011925*($A17+273.15)))^2))))</f>
        <v>2.8473555227730762</v>
      </c>
      <c r="F17" s="30">
        <f t="shared" si="11"/>
        <v>2.8635859109623265</v>
      </c>
      <c r="G17" s="30">
        <f t="shared" si="11"/>
        <v>2.8893722398194712</v>
      </c>
      <c r="H17" s="30">
        <f t="shared" si="11"/>
        <v>2.9347657124560462</v>
      </c>
      <c r="I17" s="30">
        <f t="shared" si="11"/>
        <v>3.0295253589473092</v>
      </c>
      <c r="J17" s="30">
        <f t="shared" si="11"/>
        <v>3.4646922923304442</v>
      </c>
      <c r="K17" s="30">
        <f t="shared" si="11"/>
        <v>3.9619301411326142</v>
      </c>
      <c r="L17" s="30">
        <f t="shared" si="11"/>
        <v>7.4412514584125038</v>
      </c>
      <c r="M17" s="30">
        <f t="shared" si="11"/>
        <v>1</v>
      </c>
      <c r="N17" s="30">
        <f t="shared" si="11"/>
        <v>1</v>
      </c>
    </row>
    <row r="18" spans="1:14" x14ac:dyDescent="0.25">
      <c r="A18" s="30">
        <v>20</v>
      </c>
      <c r="B18" s="30" t="s">
        <v>86</v>
      </c>
      <c r="E18" s="70">
        <f t="shared" ref="E18:N18" si="12">IF(E1=0,1,SQRT(ABS(1+5.1485 - 1.6332*EXP(0.0011394*($A18+273.15))+(0.4872 + 1.8158*EXP(0.0010888*($A18+273.15)))*E$1^2/(E$1^2-(1.2111 - 0.7776*EXP(0.00014058*($A18+273.15)))^2)+(0.5144 + 0.0005*EXP(0.0237*($A18+273.15)))*E$1^2/(E$1^2-(31.9045 + 0.0885*EXP(0.017224*($A18+273.15)))^2))))</f>
        <v>2.6509728769758683</v>
      </c>
      <c r="F18" s="30">
        <f t="shared" si="12"/>
        <v>2.6611649943692117</v>
      </c>
      <c r="G18" s="30">
        <f t="shared" si="12"/>
        <v>2.6769621651721414</v>
      </c>
      <c r="H18" s="30">
        <f t="shared" si="12"/>
        <v>2.7036652492413134</v>
      </c>
      <c r="I18" s="30">
        <f t="shared" si="12"/>
        <v>2.7552724405637674</v>
      </c>
      <c r="J18" s="30">
        <f t="shared" si="12"/>
        <v>2.9375179974797918</v>
      </c>
      <c r="K18" s="30">
        <f t="shared" si="12"/>
        <v>3.0742840992513343</v>
      </c>
      <c r="L18" s="30">
        <f t="shared" si="12"/>
        <v>3.6316693139877083</v>
      </c>
      <c r="M18" s="30">
        <f t="shared" si="12"/>
        <v>1</v>
      </c>
      <c r="N18" s="30">
        <f t="shared" si="12"/>
        <v>1</v>
      </c>
    </row>
    <row r="19" spans="1:14" x14ac:dyDescent="0.25">
      <c r="A19" s="30">
        <v>20</v>
      </c>
      <c r="B19" s="30" t="s">
        <v>87</v>
      </c>
      <c r="E19" s="70">
        <f t="shared" ref="E19:N19" si="13">IF(E1=0,1,SQRT(ABS(1+4.7676 - 1.4748*EXP(0.0010548*($A19+273.15))+(0.4001 + 2.0644*EXP(0.00091311*($A19+273.15)))*E$1^2/(E$1^2-(1.8075 - 1.3772*EXP(0.000075394*($A19+273.15)))^2)+(0.7927 + 0.0028*EXP(0.019492*($A19+273.15)))*E$1^2/(E$1^2-(30.9653 + 0.2147*EXP(0.014285*($A19+273.15)))^2))))</f>
        <v>2.6524139640290505</v>
      </c>
      <c r="F19" s="30">
        <f t="shared" si="13"/>
        <v>2.662943626487519</v>
      </c>
      <c r="G19" s="30">
        <f t="shared" si="13"/>
        <v>2.6792324699714629</v>
      </c>
      <c r="H19" s="30">
        <f t="shared" si="13"/>
        <v>2.706721002256518</v>
      </c>
      <c r="I19" s="30">
        <f t="shared" si="13"/>
        <v>2.7597486817722738</v>
      </c>
      <c r="J19" s="30">
        <f t="shared" si="13"/>
        <v>2.9462600467243774</v>
      </c>
      <c r="K19" s="30">
        <f t="shared" si="13"/>
        <v>3.0855322362717144</v>
      </c>
      <c r="L19" s="30">
        <f t="shared" si="13"/>
        <v>3.6473521462822078</v>
      </c>
      <c r="M19" s="30">
        <f t="shared" si="13"/>
        <v>1</v>
      </c>
      <c r="N19" s="30">
        <f t="shared" si="13"/>
        <v>1</v>
      </c>
    </row>
    <row r="20" spans="1:14" x14ac:dyDescent="0.25">
      <c r="A20" s="30">
        <v>20</v>
      </c>
      <c r="B20" s="30" t="s">
        <v>88</v>
      </c>
      <c r="E20" s="70">
        <f t="shared" ref="E20:N20" si="14">IF(E1=0,1,SQRT(ABS(1+3.8535 - 1.2503*EXP(-0.0021213*($A20+273.15))+(3.0914 + 1.034*EXP(-0.0024421*($A20+273.15)))*E$1^2/(E$1^2-(0.5352 - 0.1454*EXP(-0.0010972*($A20+273.15)))^2)+(1.0434 + 0.1524*EXP(0.007296*($A20+273.15)))*E$1^2/(E$1^2-(39.0459 + 4.2007*EXP(0.0054088*($A20+273.15)))^2))))</f>
        <v>2.8324217613867</v>
      </c>
      <c r="F20" s="30">
        <f t="shared" si="14"/>
        <v>2.8458989881670118</v>
      </c>
      <c r="G20" s="30">
        <f t="shared" si="14"/>
        <v>2.8669129844561523</v>
      </c>
      <c r="H20" s="30">
        <f t="shared" si="14"/>
        <v>2.9027821928156925</v>
      </c>
      <c r="I20" s="30">
        <f t="shared" si="14"/>
        <v>2.9733740304363745</v>
      </c>
      <c r="J20" s="30">
        <f t="shared" si="14"/>
        <v>3.2372429046150333</v>
      </c>
      <c r="K20" s="30">
        <f t="shared" si="14"/>
        <v>3.4522505569417068</v>
      </c>
      <c r="L20" s="30">
        <f t="shared" si="14"/>
        <v>4.5446230924697426</v>
      </c>
      <c r="M20" s="30">
        <f t="shared" si="14"/>
        <v>1</v>
      </c>
      <c r="N20" s="30">
        <f t="shared" si="14"/>
        <v>1</v>
      </c>
    </row>
    <row r="21" spans="1:14" x14ac:dyDescent="0.25">
      <c r="B21" s="30" t="s">
        <v>90</v>
      </c>
      <c r="E21" s="70">
        <f>IF(E1=0,1,SQRT(ABS((((1+((2.51073068047225*(E1^2))/((E1^2)-(0.149420418208541^2))))+((2.23741934412542*(E1^2))/((E1^2)-(0.320678845739551^2))))+((1.22004811361804*(E1^2))/((E1^2)-(31.0024804686587^2)))+((0.000253969150628309*(E1^2))/((E1^2)-(12.5145659659273^2)))))))</f>
        <v>2.4179670734410208</v>
      </c>
      <c r="F21" s="30">
        <f>IF(F1=0,1,SQRT(ABS((((1+((2.51073068047225*(F1^2))/((F1^2)-(0.149420418208541^2))))+((2.23741934412542*(F1^2))/((F1^2)-(0.320678845739551^2))))+((1.22004811361804*(F1^2))/((F1^2)-(31.0024804686587^2)))+((0.000253969150628309*(F1^2))/((F1^2)-(12.5145659659273^2)))))))</f>
        <v>2.4243771196435784</v>
      </c>
      <c r="G21" s="30">
        <f t="shared" ref="G21:N21" si="15">IF(G1=0,1,SQRT(ABS((((1+((2.51073068047225*(G1^2))/((G1^2)-(0.149420418208541^2))))+((2.23741934412542*(G1^2))/((G1^2)-(0.320678845739551^2))))+((1.22004811361804*(G1^2))/((G1^2)-(31.0024804686587^2)))+((0.000253969150628309*(G1^2))/((G1^2)-(12.5145659659273^2)))))))</f>
        <v>2.434045462227056</v>
      </c>
      <c r="H21" s="30">
        <f t="shared" si="15"/>
        <v>2.4498209149169385</v>
      </c>
      <c r="I21" s="30">
        <f t="shared" si="15"/>
        <v>2.4786383638122338</v>
      </c>
      <c r="J21" s="30">
        <f t="shared" si="15"/>
        <v>2.5664471394430146</v>
      </c>
      <c r="K21" s="30">
        <f t="shared" si="15"/>
        <v>2.6211694528957272</v>
      </c>
      <c r="L21" s="30">
        <f t="shared" si="15"/>
        <v>2.7808998720266453</v>
      </c>
      <c r="M21" s="30">
        <f t="shared" si="15"/>
        <v>1</v>
      </c>
      <c r="N21" s="30">
        <f t="shared" si="15"/>
        <v>1</v>
      </c>
    </row>
    <row r="22" spans="1:14" x14ac:dyDescent="0.25">
      <c r="B22" s="30" t="s">
        <v>91</v>
      </c>
      <c r="C22" s="30"/>
      <c r="D22" s="30"/>
      <c r="E22" s="56">
        <f>IF(E1=0,1,SQRT(ABS((((1+((2.72866684826163*(E1^2))/((E1^2)-(0.15068289608417^2))))+((2.46763111208046*(E1^2))/((E1^2)-(0.346714522877848^2))))+((1.09002781648375*(E1^2))/((E1^2)-(31.018476608941^2)))+((0.000185706656482938*(E1^2))/((E1^2)-(12.5255280363235^2)))))))</f>
        <v>2.5143021191169885</v>
      </c>
      <c r="F22" s="41">
        <f>IF(F1=0,1,SQRT(ABS((((1+((2.72866684826163*(F1^2))/((F1^2)-(0.15068289608417^2))))+((2.46763111208046*(F1^2))/((F1^2)-(0.346714522877848^2))))+((1.09002781648375*(F1^2))/((F1^2)-(31.018476608941^2)))+((0.000185706656482938*(F1^2))/((F1^2)-(12.5255280363235^2)))))))</f>
        <v>2.5220698411525158</v>
      </c>
      <c r="G22" s="41">
        <f t="shared" ref="G22:N22" si="16">IF(G1=0,1,SQRT(ABS((((1+((2.72866684826163*(G1^2))/((G1^2)-(0.15068289608417^2))))+((2.46763111208046*(G1^2))/((G1^2)-(0.346714522877848^2))))+((1.09002781648375*(G1^2))/((G1^2)-(31.018476608941^2)))+((0.000185706656482938*(G1^2))/((G1^2)-(12.5255280363235^2)))))))</f>
        <v>2.5338711164848693</v>
      </c>
      <c r="H22" s="41">
        <f t="shared" si="16"/>
        <v>2.5532923746031275</v>
      </c>
      <c r="I22" s="41">
        <f t="shared" si="16"/>
        <v>2.5892299324585215</v>
      </c>
      <c r="J22" s="41">
        <f t="shared" si="16"/>
        <v>2.7024190520396498</v>
      </c>
      <c r="K22" s="41">
        <f t="shared" si="16"/>
        <v>2.7760187998214954</v>
      </c>
      <c r="L22" s="41">
        <f t="shared" si="16"/>
        <v>3.0067846648236287</v>
      </c>
      <c r="M22" s="41">
        <f t="shared" si="16"/>
        <v>1</v>
      </c>
      <c r="N22" s="41">
        <f t="shared" si="16"/>
        <v>1</v>
      </c>
    </row>
    <row r="23" spans="1:14" x14ac:dyDescent="0.25">
      <c r="B23" s="30" t="s">
        <v>92</v>
      </c>
      <c r="E23" s="70">
        <f>IF(E1=0,1,SQRT(ABS((((1+((6.21423054341469*(E1^2))/((E1^2)-(0.277212001168442^2))))+((1.88740148624026*(E1^2))/((E1^2)-(53.8618221775783^2))))+((0.564772482784949*(E1^2))/((E1^2)-(0.588113503817557^2)))))))</f>
        <v>2.8326058480746497</v>
      </c>
      <c r="F23" s="30">
        <f t="shared" ref="F23:N23" si="17">IF(F1=0,1,SQRT(ABS((((1+((6.21423054341469*(F1^2))/((F1^2)-(0.277212001168442^2))))+((1.88740148624026*(F1^2))/((F1^2)-(53.8618221775783^2))))+((0.564772482784949*(F1^2))/((F1^2)-(0.588113503817557^2)))))))</f>
        <v>2.8460276056637235</v>
      </c>
      <c r="G23" s="30">
        <f t="shared" si="17"/>
        <v>2.8669257871084177</v>
      </c>
      <c r="H23" s="30">
        <f t="shared" si="17"/>
        <v>2.9027058286133309</v>
      </c>
      <c r="I23" s="30">
        <f t="shared" si="17"/>
        <v>2.9750149233963068</v>
      </c>
      <c r="J23" s="30">
        <f t="shared" si="17"/>
        <v>3.3810381542097985</v>
      </c>
      <c r="K23" s="30">
        <f t="shared" si="17"/>
        <v>17.076459378668464</v>
      </c>
      <c r="L23" s="30">
        <f t="shared" si="17"/>
        <v>2.99835857136308</v>
      </c>
      <c r="M23" s="30">
        <f t="shared" si="17"/>
        <v>1</v>
      </c>
      <c r="N23" s="30">
        <f t="shared" si="17"/>
        <v>1</v>
      </c>
    </row>
    <row r="24" spans="1:14" x14ac:dyDescent="0.25">
      <c r="B24" t="s">
        <v>103</v>
      </c>
      <c r="E24" s="70">
        <f>IF(E1=0,1,(SQRT(1+1.31043485973961*E1^2/(E1^2-0.008492727563097)+0.145173226568241*E1^2/(E1^2-0.049931727787554)+0.973996052889187*E1^2/(E1^2-108.814405813622))))</f>
        <v>1.5605923706699036</v>
      </c>
      <c r="F24" s="30">
        <f t="shared" ref="F24:N24" si="18">IF(F1=0,1,(SQRT(1+1.31043485973961*F1^2/(F1^2-0.008492727563097)+0.145173226568241*F1^2/(F1^2-0.049931727787554)+0.973996052889187*F1^2/(F1^2-108.814405813622))))</f>
        <v>1.5631068301779583</v>
      </c>
      <c r="G24" s="30">
        <f t="shared" si="18"/>
        <v>1.565656612061826</v>
      </c>
      <c r="H24" s="30">
        <f t="shared" si="18"/>
        <v>1.5684918968857997</v>
      </c>
      <c r="I24" s="30">
        <f t="shared" si="18"/>
        <v>1.5721722815348376</v>
      </c>
      <c r="J24" s="30">
        <f t="shared" si="18"/>
        <v>1.5802325808496642</v>
      </c>
      <c r="K24" s="30">
        <f t="shared" si="18"/>
        <v>1.5843312566360417</v>
      </c>
      <c r="L24" s="30">
        <f t="shared" si="18"/>
        <v>1.5941222522555414</v>
      </c>
      <c r="M24" s="30">
        <f t="shared" si="18"/>
        <v>1</v>
      </c>
      <c r="N24" s="30">
        <f t="shared" si="18"/>
        <v>1</v>
      </c>
    </row>
    <row r="25" spans="1:14" x14ac:dyDescent="0.25">
      <c r="B25" t="s">
        <v>102</v>
      </c>
      <c r="E25" s="70">
        <f>IF(E1=0,1,(SQRT(1+1.48383948081742*E1^2/(E1^2-0.009515430158582)+0.101361576536076*E1^2/(E1^2-0.061854685532622)+1.1799453506993*E1^2/(E1^2-105.796307453159))))</f>
        <v>1.5997444592889642</v>
      </c>
      <c r="F25" s="30">
        <f t="shared" ref="F25:N25" si="19">IF(F1=0,1,(SQRT(1+1.48383948081742*F1^2/(F1^2-0.009515430158582)+0.101361576536076*F1^2/(F1^2-0.061854685532622)+1.1799453506993*F1^2/(F1^2-105.796307453159))))</f>
        <v>1.6027254188805311</v>
      </c>
      <c r="G25" s="30">
        <f t="shared" si="19"/>
        <v>1.6057083499896521</v>
      </c>
      <c r="H25" s="30">
        <f t="shared" si="19"/>
        <v>1.6089660996727311</v>
      </c>
      <c r="I25" s="30">
        <f t="shared" si="19"/>
        <v>1.6131076445205752</v>
      </c>
      <c r="J25" s="30">
        <f t="shared" si="19"/>
        <v>1.6220048884208025</v>
      </c>
      <c r="K25" s="30">
        <f t="shared" si="19"/>
        <v>1.62650577813421</v>
      </c>
      <c r="L25" s="30">
        <f t="shared" si="19"/>
        <v>1.6372987143321793</v>
      </c>
      <c r="M25" s="30">
        <f t="shared" si="19"/>
        <v>1</v>
      </c>
      <c r="N25" s="30">
        <f t="shared" si="19"/>
        <v>1</v>
      </c>
    </row>
    <row r="26" spans="1:14" x14ac:dyDescent="0.25">
      <c r="B26" s="30" t="s">
        <v>105</v>
      </c>
      <c r="C26" s="30"/>
      <c r="D26" s="30"/>
      <c r="E26" s="30">
        <v>1.6</v>
      </c>
      <c r="F26" s="30">
        <v>1.6</v>
      </c>
      <c r="G26" s="30">
        <v>1.6</v>
      </c>
      <c r="H26" s="30">
        <v>1.6</v>
      </c>
      <c r="I26" s="30">
        <v>1.6</v>
      </c>
      <c r="J26" s="30">
        <v>1.6</v>
      </c>
      <c r="K26" s="30">
        <v>1.6</v>
      </c>
      <c r="L26" s="30">
        <v>1.6</v>
      </c>
      <c r="M26" s="30"/>
      <c r="N26" s="30"/>
    </row>
    <row r="27" spans="1:14" x14ac:dyDescent="0.25">
      <c r="B27" s="30" t="s">
        <v>106</v>
      </c>
      <c r="C27" s="30"/>
      <c r="D27" s="30"/>
      <c r="E27" s="30">
        <v>1.5</v>
      </c>
      <c r="F27" s="30">
        <v>1.5</v>
      </c>
      <c r="G27" s="30">
        <v>1.5</v>
      </c>
      <c r="H27" s="30">
        <v>1.5</v>
      </c>
      <c r="I27" s="30">
        <v>1.5</v>
      </c>
      <c r="J27" s="30">
        <v>1.5</v>
      </c>
      <c r="K27" s="30">
        <v>1.5</v>
      </c>
      <c r="L27" s="30">
        <v>1.5</v>
      </c>
      <c r="M27" s="30"/>
      <c r="N27" s="30"/>
    </row>
  </sheetData>
  <mergeCells count="2">
    <mergeCell ref="A7:N7"/>
    <mergeCell ref="B9:D9"/>
  </mergeCells>
  <dataValidations xWindow="108" yWindow="296" count="2">
    <dataValidation type="list" allowBlank="1" showInputMessage="1" showErrorMessage="1" errorTitle="Error" error="The material you entered is not valid." promptTitle="First Material" prompt="Select GRIN material endpoint from the list." sqref="B2">
      <formula1>$B$10:$B$51</formula1>
    </dataValidation>
    <dataValidation type="list" allowBlank="1" showInputMessage="1" showErrorMessage="1" errorTitle="Error" error="The material you entered is not valid." promptTitle="Second Material" prompt="Select GRIN material endpoint from the list." sqref="B3">
      <formula1>$B$10:$B$51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208"/>
  <sheetViews>
    <sheetView workbookViewId="0">
      <selection activeCell="G6" sqref="G6"/>
    </sheetView>
  </sheetViews>
  <sheetFormatPr defaultRowHeight="15" x14ac:dyDescent="0.25"/>
  <cols>
    <col min="1" max="1" width="20.28515625" customWidth="1"/>
    <col min="2" max="2" width="10" customWidth="1"/>
    <col min="3" max="3" width="16.140625" customWidth="1"/>
    <col min="4" max="4" width="12.85546875" customWidth="1"/>
    <col min="5" max="5" width="12.42578125" customWidth="1"/>
    <col min="6" max="6" width="11.7109375" customWidth="1"/>
    <col min="7" max="7" width="11.42578125" customWidth="1"/>
    <col min="8" max="8" width="11.5703125" customWidth="1"/>
    <col min="9" max="9" width="12.140625" customWidth="1"/>
    <col min="10" max="10" width="11.140625" customWidth="1"/>
    <col min="11" max="11" width="11" bestFit="1" customWidth="1"/>
    <col min="12" max="12" width="11.140625" customWidth="1"/>
    <col min="13" max="13" width="11" customWidth="1"/>
    <col min="16" max="16" width="11" bestFit="1" customWidth="1"/>
    <col min="27" max="27" width="10.5703125" bestFit="1" customWidth="1"/>
  </cols>
  <sheetData>
    <row r="1" spans="1:32" ht="15.75" thickBot="1" x14ac:dyDescent="0.3">
      <c r="A1" t="s">
        <v>28</v>
      </c>
      <c r="C1" s="30" t="s">
        <v>29</v>
      </c>
      <c r="D1" s="36">
        <v>1.7</v>
      </c>
      <c r="E1" s="37">
        <v>1.5</v>
      </c>
      <c r="F1" s="37">
        <v>1.3</v>
      </c>
      <c r="G1" s="37">
        <v>1.1000000000000001</v>
      </c>
      <c r="H1" s="37">
        <v>0.9</v>
      </c>
      <c r="I1" s="80">
        <v>0.65627250000000004</v>
      </c>
      <c r="J1" s="80">
        <v>0.58756180000000002</v>
      </c>
      <c r="K1" s="80">
        <v>0.48613269999999997</v>
      </c>
      <c r="L1" s="37">
        <v>0</v>
      </c>
      <c r="M1" s="38">
        <v>0</v>
      </c>
    </row>
    <row r="2" spans="1:32" x14ac:dyDescent="0.25">
      <c r="A2" s="30" t="s">
        <v>95</v>
      </c>
      <c r="C2" s="30" t="s">
        <v>78</v>
      </c>
      <c r="D2" s="65">
        <f>IF(D1=0,1,(SQRT(1+1.48383948081742*D1^2/(D1^2-0.009515430158582)+0.101361576536076*D1^2/(D1^2-0.061854685532622)+1.1799453506993*D1^2/(D1^2-105.796307453159))-SQRT(1+1.31043485973961*D1^2/(D1^2-0.008492727563097)+0.145173226568241*D1^2/(D1^2-0.049931727787554)+0.973996052889187*D1^2/(D1^2-108.814405813622))))</f>
        <v>3.915208861906061E-2</v>
      </c>
      <c r="E2" s="65">
        <f t="shared" ref="E2:K2" si="0">IF(E1=0,1,(SQRT(1+1.48383948081742*E1^2/(E1^2-0.009515430158582)+0.101361576536076*E1^2/(E1^2-0.061854685532622)+1.1799453506993*E1^2/(E1^2-105.796307453159))-SQRT(1+1.31043485973961*E1^2/(E1^2-0.008492727563097)+0.145173226568241*E1^2/(E1^2-0.049931727787554)+0.973996052889187*E1^2/(E1^2-108.814405813622))))</f>
        <v>3.9618588702572843E-2</v>
      </c>
      <c r="F2" s="65">
        <f t="shared" si="0"/>
        <v>4.0051737927826014E-2</v>
      </c>
      <c r="G2" s="65">
        <f t="shared" si="0"/>
        <v>4.0474202786931368E-2</v>
      </c>
      <c r="H2" s="65">
        <f t="shared" si="0"/>
        <v>4.0935362985737633E-2</v>
      </c>
      <c r="I2" s="65">
        <f t="shared" si="0"/>
        <v>4.1772307571138256E-2</v>
      </c>
      <c r="J2" s="65">
        <f t="shared" si="0"/>
        <v>4.217452149816836E-2</v>
      </c>
      <c r="K2" s="65">
        <f t="shared" si="0"/>
        <v>4.3176462076637945E-2</v>
      </c>
      <c r="L2" s="57">
        <v>0</v>
      </c>
      <c r="M2" s="57">
        <v>0</v>
      </c>
    </row>
    <row r="3" spans="1:32" x14ac:dyDescent="0.25">
      <c r="A3" s="12"/>
      <c r="B3" s="12"/>
      <c r="C3" s="3" t="s">
        <v>76</v>
      </c>
      <c r="D3" s="66">
        <f>IF(D1=0,1,(SQRT(1+1.31043485973961*D1^2/(D1^2-0.008492727563097)+0.145173226568241*D1^2/(D1^2-0.049931727787554)+0.973996052889187*D1^2/(D1^2-108.814405813622))))</f>
        <v>1.5605923706699036</v>
      </c>
      <c r="E3" s="66">
        <f t="shared" ref="E3:K3" si="1">IF(E1=0,1,(SQRT(1+1.31043485973961*E1^2/(E1^2-0.008492727563097)+0.145173226568241*E1^2/(E1^2-0.049931727787554)+0.973996052889187*E1^2/(E1^2-108.814405813622))))</f>
        <v>1.5631068301779583</v>
      </c>
      <c r="F3" s="66">
        <f t="shared" si="1"/>
        <v>1.565656612061826</v>
      </c>
      <c r="G3" s="66">
        <f t="shared" si="1"/>
        <v>1.5684918968857997</v>
      </c>
      <c r="H3" s="66">
        <f t="shared" si="1"/>
        <v>1.5721722815348376</v>
      </c>
      <c r="I3" s="66">
        <f t="shared" si="1"/>
        <v>1.5802325808496642</v>
      </c>
      <c r="J3" s="66">
        <f t="shared" si="1"/>
        <v>1.5843312566360417</v>
      </c>
      <c r="K3" s="66">
        <f t="shared" si="1"/>
        <v>1.5941222522555414</v>
      </c>
      <c r="L3" s="57">
        <v>0</v>
      </c>
      <c r="M3" s="57">
        <v>0</v>
      </c>
    </row>
    <row r="4" spans="1:32" x14ac:dyDescent="0.25">
      <c r="E4" s="30"/>
    </row>
    <row r="5" spans="1:32" x14ac:dyDescent="0.25">
      <c r="A5" s="1" t="s">
        <v>22</v>
      </c>
      <c r="B5">
        <v>125</v>
      </c>
      <c r="C5" s="15"/>
      <c r="D5" t="s">
        <v>18</v>
      </c>
    </row>
    <row r="6" spans="1:32" ht="15.75" thickBot="1" x14ac:dyDescent="0.3">
      <c r="C6" s="28" t="s">
        <v>49</v>
      </c>
      <c r="D6" s="29" t="str">
        <f>D1&amp;" um"</f>
        <v>1.7 um</v>
      </c>
      <c r="E6" s="29" t="str">
        <f t="shared" ref="E6:M6" si="2">E1&amp;" um"</f>
        <v>1.5 um</v>
      </c>
      <c r="F6" s="29" t="str">
        <f t="shared" si="2"/>
        <v>1.3 um</v>
      </c>
      <c r="G6" s="29" t="str">
        <f t="shared" si="2"/>
        <v>1.1 um</v>
      </c>
      <c r="H6" s="29" t="str">
        <f t="shared" si="2"/>
        <v>0.9 um</v>
      </c>
      <c r="I6" s="29" t="str">
        <f t="shared" si="2"/>
        <v>0.6562725 um</v>
      </c>
      <c r="J6" s="29" t="str">
        <f t="shared" si="2"/>
        <v>0.5875618 um</v>
      </c>
      <c r="K6" s="29" t="str">
        <f t="shared" si="2"/>
        <v>0.4861327 um</v>
      </c>
      <c r="L6" s="29" t="str">
        <f t="shared" si="2"/>
        <v>0 um</v>
      </c>
      <c r="M6" s="29" t="str">
        <f t="shared" si="2"/>
        <v>0 um</v>
      </c>
      <c r="AD6" s="10"/>
    </row>
    <row r="7" spans="1:32" ht="30" customHeight="1" thickBot="1" x14ac:dyDescent="0.3">
      <c r="A7" t="s">
        <v>21</v>
      </c>
      <c r="C7" s="20">
        <v>0</v>
      </c>
      <c r="D7" s="67">
        <f>D$2*$C7+D$3</f>
        <v>1.5605923706699036</v>
      </c>
      <c r="E7" s="67">
        <f>E$2*$C7+E$3</f>
        <v>1.5631068301779583</v>
      </c>
      <c r="F7" s="67">
        <f>F$2*$C7+F$3</f>
        <v>1.565656612061826</v>
      </c>
      <c r="G7" s="67">
        <f>G$2*$C7+G$3</f>
        <v>1.5684918968857997</v>
      </c>
      <c r="H7" s="67">
        <f>H$2*$C7+H$3</f>
        <v>1.5721722815348376</v>
      </c>
      <c r="I7" s="67">
        <f t="shared" ref="I7:M9" si="3">I$2*$C7+I$3</f>
        <v>1.5802325808496642</v>
      </c>
      <c r="J7" s="67">
        <f t="shared" si="3"/>
        <v>1.5843312566360417</v>
      </c>
      <c r="K7" s="67">
        <f t="shared" si="3"/>
        <v>1.5941222522555414</v>
      </c>
      <c r="L7" s="67">
        <f t="shared" si="3"/>
        <v>0</v>
      </c>
      <c r="M7" s="67">
        <f t="shared" si="3"/>
        <v>0</v>
      </c>
    </row>
    <row r="8" spans="1:32" ht="30" customHeight="1" x14ac:dyDescent="0.25">
      <c r="A8" t="s">
        <v>19</v>
      </c>
      <c r="C8" s="13">
        <f>MAX(AA9:AA48)</f>
        <v>2.3945082703546805</v>
      </c>
      <c r="D8" s="67">
        <f>D$2*$C8+D$3</f>
        <v>1.6543423706699036</v>
      </c>
      <c r="E8" s="67">
        <f t="shared" ref="E8:H9" si="4">E$2*$C8+E$3</f>
        <v>1.6579738684860494</v>
      </c>
      <c r="F8" s="67">
        <f t="shared" si="4"/>
        <v>1.6615608297720836</v>
      </c>
      <c r="G8" s="67">
        <f t="shared" si="4"/>
        <v>1.6654077101951192</v>
      </c>
      <c r="H8" s="67">
        <f t="shared" si="4"/>
        <v>1.6701923467541573</v>
      </c>
      <c r="I8" s="67">
        <f t="shared" si="3"/>
        <v>1.6802567168005542</v>
      </c>
      <c r="J8" s="67">
        <f t="shared" si="3"/>
        <v>1.685318497161657</v>
      </c>
      <c r="K8" s="67">
        <f t="shared" si="3"/>
        <v>1.6975086477827062</v>
      </c>
      <c r="L8" s="67">
        <f t="shared" si="3"/>
        <v>0</v>
      </c>
      <c r="M8" s="67">
        <f t="shared" si="3"/>
        <v>0</v>
      </c>
      <c r="Z8" t="s">
        <v>7</v>
      </c>
      <c r="AA8" s="30" t="s">
        <v>48</v>
      </c>
    </row>
    <row r="9" spans="1:32" ht="30" customHeight="1" x14ac:dyDescent="0.25">
      <c r="A9" t="s">
        <v>20</v>
      </c>
      <c r="C9" s="14">
        <f>MIN(AA9:AA48)</f>
        <v>0</v>
      </c>
      <c r="D9" s="67">
        <f>D$2*$C9+D$3</f>
        <v>1.5605923706699036</v>
      </c>
      <c r="E9" s="67">
        <f t="shared" si="4"/>
        <v>1.5631068301779583</v>
      </c>
      <c r="F9" s="67">
        <f t="shared" si="4"/>
        <v>1.565656612061826</v>
      </c>
      <c r="G9" s="67">
        <f t="shared" si="4"/>
        <v>1.5684918968857997</v>
      </c>
      <c r="H9" s="67">
        <f t="shared" si="4"/>
        <v>1.5721722815348376</v>
      </c>
      <c r="I9" s="67">
        <f t="shared" si="3"/>
        <v>1.5802325808496642</v>
      </c>
      <c r="J9" s="67">
        <f t="shared" si="3"/>
        <v>1.5843312566360417</v>
      </c>
      <c r="K9" s="67">
        <f t="shared" si="3"/>
        <v>1.5941222522555414</v>
      </c>
      <c r="L9" s="67">
        <f t="shared" si="3"/>
        <v>0</v>
      </c>
      <c r="M9" s="67">
        <f t="shared" si="3"/>
        <v>0</v>
      </c>
      <c r="Z9">
        <f>0*$B$13/51</f>
        <v>0</v>
      </c>
      <c r="AA9" s="26">
        <f>$P$16 + $P$17*Z9^2 + $P$18*Z9^4 + $P$19*Z9^6</f>
        <v>0</v>
      </c>
      <c r="AB9" s="10"/>
      <c r="AC9" s="10"/>
      <c r="AD9" s="10"/>
      <c r="AE9" s="10"/>
      <c r="AF9" s="10"/>
    </row>
    <row r="10" spans="1:32" ht="16.5" customHeight="1" x14ac:dyDescent="0.25">
      <c r="A10" s="2"/>
      <c r="B10" s="3"/>
      <c r="D10" s="67"/>
      <c r="E10" s="67"/>
      <c r="F10" s="67"/>
      <c r="G10" s="67"/>
      <c r="H10" s="67"/>
      <c r="I10" s="67"/>
      <c r="J10" s="67"/>
      <c r="K10" s="67"/>
      <c r="L10" s="67"/>
      <c r="M10" s="67"/>
      <c r="Z10">
        <f>1*$B$13/51</f>
        <v>0.24509803921568626</v>
      </c>
      <c r="AA10" s="26">
        <f t="shared" ref="AA10:AA19" si="5">$P$16 + $P$17*Z10^2 + $P$18*Z10^4 + $P$19*Z10^6</f>
        <v>9.2061063835243383E-4</v>
      </c>
      <c r="AB10" s="10"/>
      <c r="AC10" s="10"/>
      <c r="AD10" s="10"/>
      <c r="AE10" s="10"/>
      <c r="AF10" s="10"/>
    </row>
    <row r="11" spans="1:32" ht="15" customHeight="1" x14ac:dyDescent="0.25">
      <c r="C11" s="16" t="s">
        <v>26</v>
      </c>
      <c r="D11" s="67">
        <f>D8-D9</f>
        <v>9.375E-2</v>
      </c>
      <c r="E11" s="67">
        <f t="shared" ref="E11:M11" si="6">E8-E9</f>
        <v>9.4867038308091178E-2</v>
      </c>
      <c r="F11" s="67">
        <f t="shared" si="6"/>
        <v>9.5904217710257589E-2</v>
      </c>
      <c r="G11" s="67">
        <f t="shared" si="6"/>
        <v>9.6915813309319532E-2</v>
      </c>
      <c r="H11" s="67">
        <f t="shared" si="6"/>
        <v>9.8020065219319719E-2</v>
      </c>
      <c r="I11" s="67">
        <f t="shared" si="6"/>
        <v>0.10002413595088999</v>
      </c>
      <c r="J11" s="67">
        <f t="shared" si="6"/>
        <v>0.10098724052561536</v>
      </c>
      <c r="K11" s="67">
        <f t="shared" si="6"/>
        <v>0.10338639552716478</v>
      </c>
      <c r="L11" s="67">
        <f t="shared" si="6"/>
        <v>0</v>
      </c>
      <c r="M11" s="67">
        <f t="shared" si="6"/>
        <v>0</v>
      </c>
      <c r="Z11">
        <f>2*$B$13/51</f>
        <v>0.49019607843137253</v>
      </c>
      <c r="AA11" s="26">
        <f t="shared" si="5"/>
        <v>3.6824425534097353E-3</v>
      </c>
      <c r="AB11" s="10"/>
      <c r="AC11" s="10"/>
      <c r="AD11" s="10"/>
      <c r="AE11" s="10"/>
      <c r="AF11" s="10"/>
    </row>
    <row r="12" spans="1:32" ht="15.75" thickBot="1" x14ac:dyDescent="0.3">
      <c r="Z12">
        <f>3*$B$13/51</f>
        <v>0.73529411764705888</v>
      </c>
      <c r="AA12" s="26">
        <f t="shared" si="5"/>
        <v>8.2854957451719072E-3</v>
      </c>
      <c r="AB12" s="10"/>
      <c r="AC12" s="10"/>
      <c r="AD12" s="10"/>
      <c r="AE12" s="10"/>
      <c r="AF12" s="10"/>
    </row>
    <row r="13" spans="1:32" ht="15.75" thickBot="1" x14ac:dyDescent="0.3">
      <c r="A13" t="s">
        <v>6</v>
      </c>
      <c r="B13" s="21">
        <v>12.5</v>
      </c>
      <c r="Z13">
        <f>4*$B$13/51</f>
        <v>0.98039215686274506</v>
      </c>
      <c r="AA13" s="26">
        <f t="shared" si="5"/>
        <v>1.4729770213638941E-2</v>
      </c>
      <c r="AB13" s="10"/>
      <c r="AC13" s="10"/>
      <c r="AD13" s="10"/>
      <c r="AE13" s="10"/>
      <c r="AF13" s="10"/>
    </row>
    <row r="14" spans="1:32" x14ac:dyDescent="0.25">
      <c r="E14" s="30"/>
      <c r="F14" s="30"/>
      <c r="G14" s="30"/>
      <c r="H14" s="30"/>
      <c r="I14" s="30"/>
      <c r="J14" s="30"/>
      <c r="K14" s="30"/>
      <c r="L14" s="30"/>
      <c r="M14" s="30"/>
      <c r="Z14">
        <f>5*$B$13/51</f>
        <v>1.2254901960784315</v>
      </c>
      <c r="AA14" s="26">
        <f t="shared" si="5"/>
        <v>2.301526595881085E-2</v>
      </c>
      <c r="AB14" s="10"/>
      <c r="AC14" s="10"/>
      <c r="AD14" s="10"/>
      <c r="AE14" s="10"/>
      <c r="AF14" s="10"/>
    </row>
    <row r="15" spans="1:32" ht="35.25" customHeight="1" thickBot="1" x14ac:dyDescent="0.3">
      <c r="C15" s="8" t="s">
        <v>16</v>
      </c>
      <c r="O15" s="30" t="s">
        <v>43</v>
      </c>
      <c r="Z15">
        <f>6*$B$13/51</f>
        <v>1.4705882352941178</v>
      </c>
      <c r="AA15" s="26">
        <f t="shared" si="5"/>
        <v>3.3141982980687629E-2</v>
      </c>
      <c r="AB15" s="10"/>
      <c r="AC15" s="10"/>
      <c r="AD15" s="10"/>
      <c r="AE15" s="10"/>
      <c r="AF15" s="10"/>
    </row>
    <row r="16" spans="1:32" ht="15.75" thickBot="1" x14ac:dyDescent="0.3">
      <c r="A16" t="s">
        <v>0</v>
      </c>
      <c r="C16" s="23" t="s">
        <v>15</v>
      </c>
      <c r="D16" s="67">
        <f>D$2*$C$7+D$3</f>
        <v>1.5605923706699036</v>
      </c>
      <c r="E16" s="67">
        <f>E$2*$C$7+E$3</f>
        <v>1.5631068301779583</v>
      </c>
      <c r="F16" s="78">
        <f>F$2*$C$7+F$3</f>
        <v>1.565656612061826</v>
      </c>
      <c r="G16" s="67">
        <f>G$2*$C$7+G$3</f>
        <v>1.5684918968857997</v>
      </c>
      <c r="H16" s="67">
        <f>H$2*$C$7+H$3</f>
        <v>1.5721722815348376</v>
      </c>
      <c r="I16" s="67">
        <f t="shared" ref="I16:M16" si="7">I$2*$C$7+I$3</f>
        <v>1.5802325808496642</v>
      </c>
      <c r="J16" s="67">
        <f t="shared" si="7"/>
        <v>1.5843312566360417</v>
      </c>
      <c r="K16" s="67">
        <f t="shared" si="7"/>
        <v>1.5941222522555414</v>
      </c>
      <c r="L16" s="67">
        <f t="shared" si="7"/>
        <v>0</v>
      </c>
      <c r="M16" s="67">
        <f t="shared" si="7"/>
        <v>0</v>
      </c>
      <c r="O16" s="30" t="s">
        <v>31</v>
      </c>
      <c r="P16">
        <f>(D16-D3)/D2</f>
        <v>0</v>
      </c>
      <c r="Z16">
        <f>7*$B$13/51</f>
        <v>1.7156862745098038</v>
      </c>
      <c r="AA16" s="26">
        <f t="shared" si="5"/>
        <v>4.5109921279269251E-2</v>
      </c>
      <c r="AB16" s="10"/>
      <c r="AC16" s="10"/>
      <c r="AD16" s="10"/>
      <c r="AE16" s="10"/>
      <c r="AF16" s="10"/>
    </row>
    <row r="17" spans="1:32" ht="15.75" thickBot="1" x14ac:dyDescent="0.3">
      <c r="A17" t="s">
        <v>8</v>
      </c>
      <c r="C17" s="24" t="s">
        <v>15</v>
      </c>
      <c r="D17" s="79">
        <v>5.9999999999999995E-4</v>
      </c>
      <c r="E17" s="67">
        <f>E2*$D$17/$D$2</f>
        <v>6.071490451717836E-4</v>
      </c>
      <c r="F17" s="67">
        <f>F2*$D$17/$D$2</f>
        <v>6.1378699334564875E-4</v>
      </c>
      <c r="G17" s="67">
        <f>G2*$D$17/$D$2</f>
        <v>6.2026120517964562E-4</v>
      </c>
      <c r="H17" s="67">
        <f>H2*$D$17/$D$2</f>
        <v>6.2732841740364563E-4</v>
      </c>
      <c r="I17" s="67">
        <f t="shared" ref="I17:M17" si="8">I2*$D$17/$D$2</f>
        <v>6.4015447008569594E-4</v>
      </c>
      <c r="J17" s="67">
        <f t="shared" si="8"/>
        <v>6.4631833936393864E-4</v>
      </c>
      <c r="K17" s="67">
        <f t="shared" si="8"/>
        <v>6.6167293137385464E-4</v>
      </c>
      <c r="L17" s="67">
        <f t="shared" si="8"/>
        <v>0</v>
      </c>
      <c r="M17" s="67">
        <f t="shared" si="8"/>
        <v>0</v>
      </c>
      <c r="O17" s="30" t="s">
        <v>32</v>
      </c>
      <c r="P17" s="11">
        <f>D17/D2</f>
        <v>1.5324852930269955E-2</v>
      </c>
      <c r="Z17">
        <f>8*$B$13/51</f>
        <v>1.9607843137254901</v>
      </c>
      <c r="AA17" s="26">
        <f t="shared" si="5"/>
        <v>5.8919080854555765E-2</v>
      </c>
      <c r="AB17" s="10"/>
      <c r="AC17" s="10"/>
      <c r="AD17" s="10"/>
      <c r="AE17" s="10"/>
      <c r="AF17" s="10"/>
    </row>
    <row r="18" spans="1:32" ht="15.75" thickBot="1" x14ac:dyDescent="0.3">
      <c r="A18" t="s">
        <v>9</v>
      </c>
      <c r="C18" s="24" t="s">
        <v>15</v>
      </c>
      <c r="D18" s="79">
        <v>0</v>
      </c>
      <c r="E18" s="67">
        <f>E2*$D$18/$D$2</f>
        <v>0</v>
      </c>
      <c r="F18" s="67">
        <f t="shared" ref="F18:M18" si="9">F2*$D$18/$D$2</f>
        <v>0</v>
      </c>
      <c r="G18" s="67">
        <f t="shared" si="9"/>
        <v>0</v>
      </c>
      <c r="H18" s="67">
        <f t="shared" si="9"/>
        <v>0</v>
      </c>
      <c r="I18" s="67">
        <f t="shared" si="9"/>
        <v>0</v>
      </c>
      <c r="J18" s="67">
        <f t="shared" si="9"/>
        <v>0</v>
      </c>
      <c r="K18" s="67">
        <f t="shared" si="9"/>
        <v>0</v>
      </c>
      <c r="L18" s="67">
        <f t="shared" si="9"/>
        <v>0</v>
      </c>
      <c r="M18" s="67">
        <f t="shared" si="9"/>
        <v>0</v>
      </c>
      <c r="O18" s="30" t="s">
        <v>33</v>
      </c>
      <c r="P18" s="31">
        <f>D18/D2</f>
        <v>0</v>
      </c>
      <c r="Z18">
        <f>9*$B$13/51</f>
        <v>2.2058823529411766</v>
      </c>
      <c r="AA18" s="26">
        <f t="shared" si="5"/>
        <v>7.4569461706547158E-2</v>
      </c>
      <c r="AB18" s="10"/>
      <c r="AC18" s="10"/>
      <c r="AD18" s="10"/>
      <c r="AE18" s="10"/>
      <c r="AF18" s="10"/>
    </row>
    <row r="19" spans="1:32" ht="15.75" thickBot="1" x14ac:dyDescent="0.3">
      <c r="A19" t="s">
        <v>17</v>
      </c>
      <c r="C19" s="25" t="s">
        <v>107</v>
      </c>
      <c r="D19" s="79">
        <v>0</v>
      </c>
      <c r="E19" s="67">
        <f>E2*$D$19/$D$2</f>
        <v>0</v>
      </c>
      <c r="F19" s="67">
        <f t="shared" ref="F19:M19" si="10">F2*$D$19/$D$2</f>
        <v>0</v>
      </c>
      <c r="G19" s="67">
        <f t="shared" si="10"/>
        <v>0</v>
      </c>
      <c r="H19" s="67">
        <f t="shared" si="10"/>
        <v>0</v>
      </c>
      <c r="I19" s="67">
        <f t="shared" si="10"/>
        <v>0</v>
      </c>
      <c r="J19" s="67">
        <f t="shared" si="10"/>
        <v>0</v>
      </c>
      <c r="K19" s="67">
        <f t="shared" si="10"/>
        <v>0</v>
      </c>
      <c r="L19" s="67">
        <f t="shared" si="10"/>
        <v>0</v>
      </c>
      <c r="M19" s="67">
        <f t="shared" si="10"/>
        <v>0</v>
      </c>
      <c r="O19" s="30" t="s">
        <v>34</v>
      </c>
      <c r="P19" s="31">
        <f>D19/D2</f>
        <v>0</v>
      </c>
      <c r="Z19">
        <f>10*$B$13/51</f>
        <v>2.4509803921568629</v>
      </c>
      <c r="AA19" s="26">
        <f t="shared" si="5"/>
        <v>9.2061063835243401E-2</v>
      </c>
      <c r="AB19" s="10"/>
      <c r="AC19" s="10"/>
      <c r="AD19" s="10"/>
      <c r="AE19" s="10"/>
      <c r="AF19" s="10"/>
    </row>
    <row r="20" spans="1:32" s="30" customFormat="1" x14ac:dyDescent="0.25">
      <c r="C20" s="39"/>
      <c r="D20" s="40"/>
      <c r="E20" s="11"/>
      <c r="F20" s="11"/>
      <c r="G20" s="11"/>
      <c r="H20" s="11"/>
      <c r="I20" s="11"/>
      <c r="J20" s="11"/>
      <c r="K20" s="11"/>
      <c r="L20" s="11"/>
      <c r="M20" s="11"/>
      <c r="P20" s="31"/>
      <c r="Z20">
        <f>11*$B$13/51</f>
        <v>2.6960784313725492</v>
      </c>
      <c r="AA20" s="26">
        <f t="shared" ref="AA20:AA27" si="11">$P$16 + $P$17*Z20^2 + $P$18*Z20^4 + $P$19*Z20^6</f>
        <v>0.11139388724064452</v>
      </c>
      <c r="AB20" s="10"/>
      <c r="AC20" s="10"/>
      <c r="AD20" s="10"/>
      <c r="AE20" s="10"/>
      <c r="AF20" s="10"/>
    </row>
    <row r="21" spans="1:32" s="30" customFormat="1" ht="15.75" thickBot="1" x14ac:dyDescent="0.3">
      <c r="A21" t="s">
        <v>30</v>
      </c>
      <c r="G21" s="11"/>
      <c r="H21" s="11"/>
      <c r="I21" s="11"/>
      <c r="J21" s="11"/>
      <c r="K21" s="11"/>
      <c r="L21" s="11"/>
      <c r="M21" s="11"/>
      <c r="P21" s="31"/>
      <c r="Z21">
        <f>12*$B$13/51</f>
        <v>2.9411764705882355</v>
      </c>
      <c r="AA21" s="26">
        <f t="shared" si="11"/>
        <v>0.13256793192275051</v>
      </c>
      <c r="AB21" s="10"/>
      <c r="AC21" s="10"/>
      <c r="AD21" s="10"/>
      <c r="AE21" s="10"/>
      <c r="AF21" s="10"/>
    </row>
    <row r="22" spans="1:32" s="30" customFormat="1" ht="15.75" thickBot="1" x14ac:dyDescent="0.3">
      <c r="A22" t="s">
        <v>14</v>
      </c>
      <c r="B22" s="22">
        <v>10</v>
      </c>
      <c r="C22"/>
      <c r="D22"/>
      <c r="E22"/>
      <c r="F22"/>
      <c r="G22" s="11"/>
      <c r="H22" s="11"/>
      <c r="I22" s="11"/>
      <c r="J22" s="11"/>
      <c r="K22" s="11"/>
      <c r="L22" s="11"/>
      <c r="M22" s="11"/>
      <c r="P22" s="31"/>
      <c r="Z22">
        <f>13*$B$13/51</f>
        <v>3.1862745098039214</v>
      </c>
      <c r="AA22" s="26">
        <f t="shared" si="11"/>
        <v>0.1555831978815613</v>
      </c>
      <c r="AB22" s="10"/>
      <c r="AC22" s="10"/>
      <c r="AD22" s="10"/>
      <c r="AE22" s="10"/>
      <c r="AF22" s="10"/>
    </row>
    <row r="23" spans="1:32" s="30" customFormat="1" x14ac:dyDescent="0.25">
      <c r="A23" s="30" t="s">
        <v>35</v>
      </c>
      <c r="B23" s="9">
        <f>IF(D17=0,"Infinity",-1/(D17*SQRT(2*ABS(D16/D17))*SIN(SQRT(2*ABS(D17/D16))*B22)))</f>
        <v>-84.410962875363552</v>
      </c>
      <c r="C23"/>
      <c r="D23" s="30" t="s">
        <v>104</v>
      </c>
      <c r="E23"/>
      <c r="F23" s="26">
        <f>IF(D17=0,"Infinity",ABS(-1/(D17*SQRT(2*ABS(D16/D17)))))</f>
        <v>23.108121229247757</v>
      </c>
      <c r="G23" s="11"/>
      <c r="H23" s="11"/>
      <c r="I23" s="11"/>
      <c r="J23" s="11"/>
      <c r="K23" s="11"/>
      <c r="L23" s="11"/>
      <c r="M23" s="11"/>
      <c r="P23" s="31"/>
      <c r="Z23">
        <f>14*$B$13/51</f>
        <v>3.4313725490196076</v>
      </c>
      <c r="AA23" s="26">
        <f t="shared" si="11"/>
        <v>0.180439685117077</v>
      </c>
      <c r="AB23" s="10"/>
      <c r="AC23" s="10"/>
      <c r="AD23" s="10"/>
      <c r="AE23" s="10"/>
      <c r="AF23" s="10"/>
    </row>
    <row r="24" spans="1:32" s="30" customFormat="1" x14ac:dyDescent="0.25">
      <c r="B24" s="9"/>
      <c r="F24" s="26"/>
      <c r="G24" s="11"/>
      <c r="H24" s="11"/>
      <c r="I24" s="11"/>
      <c r="J24" s="11"/>
      <c r="K24" s="11"/>
      <c r="L24" s="11"/>
      <c r="M24" s="11"/>
      <c r="P24" s="31"/>
      <c r="Z24">
        <f>22*$B$13/51</f>
        <v>5.3921568627450984</v>
      </c>
      <c r="AA24" s="26">
        <f t="shared" si="11"/>
        <v>0.44557554896257806</v>
      </c>
      <c r="AB24" s="10"/>
      <c r="AC24" s="10"/>
      <c r="AD24" s="10"/>
      <c r="AE24" s="10"/>
      <c r="AF24" s="10"/>
    </row>
    <row r="25" spans="1:32" s="30" customFormat="1" x14ac:dyDescent="0.25">
      <c r="A25"/>
      <c r="B25" s="30" t="str">
        <f>"Based on "&amp;F1&amp;", "&amp;E1&amp;", "&amp;D1&amp; " um"</f>
        <v>Based on 1.3, 1.5, 1.7 um</v>
      </c>
      <c r="E25" s="30" t="str">
        <f>IF(H1=0,"","Based on "&amp;H1&amp;", "&amp;F1&amp;", "&amp;D1&amp; " um")</f>
        <v>Based on 0.9, 1.3, 1.7 um</v>
      </c>
      <c r="F25"/>
      <c r="G25"/>
      <c r="H25" s="30" t="str">
        <f>IF(M1=0,"","Based on "&amp;M1&amp;", "&amp;K1&amp;", "&amp;I1&amp; " um")</f>
        <v/>
      </c>
      <c r="I25"/>
      <c r="J25" s="11"/>
      <c r="K25" s="11" t="str">
        <f>IF(K1=0,"","Based on "&amp;K1&amp;", "&amp;J1&amp;", "&amp;I1&amp; " um")</f>
        <v>Based on 0.4861327, 0.5875618, 0.6562725 um</v>
      </c>
      <c r="L25" s="11"/>
      <c r="M25" s="11"/>
      <c r="P25" s="31"/>
      <c r="Z25">
        <f>23*$B$13/51</f>
        <v>5.6372549019607847</v>
      </c>
      <c r="AA25" s="26">
        <f t="shared" si="11"/>
        <v>0.48700302768843762</v>
      </c>
      <c r="AB25" s="10"/>
      <c r="AC25" s="10"/>
      <c r="AD25" s="10"/>
      <c r="AE25" s="10"/>
      <c r="AF25" s="10"/>
    </row>
    <row r="26" spans="1:32" s="30" customFormat="1" x14ac:dyDescent="0.25">
      <c r="A26" s="30" t="s">
        <v>50</v>
      </c>
      <c r="B26" s="9">
        <f>(E16-1)/(F16-D16)</f>
        <v>111.19273087497918</v>
      </c>
      <c r="D26" s="30" t="s">
        <v>50</v>
      </c>
      <c r="E26" s="9">
        <f>IF(H1=0,"N/A",(F16-1)/(H16-D16))</f>
        <v>48.848097248722084</v>
      </c>
      <c r="F26"/>
      <c r="G26"/>
      <c r="H26" s="30" t="s">
        <v>50</v>
      </c>
      <c r="I26" s="30" t="str">
        <f>IF(M1=0,"N/A",(K16-1)/(M16-I16))</f>
        <v>N/A</v>
      </c>
      <c r="J26" s="11"/>
      <c r="K26" s="30" t="s">
        <v>50</v>
      </c>
      <c r="L26" s="9">
        <f>IF(K1=0,"N/A",(J16-1)/(K16-I16))</f>
        <v>42.069480231821231</v>
      </c>
      <c r="M26" s="11"/>
      <c r="P26" s="31"/>
      <c r="Z26">
        <f>24*$B$13/51</f>
        <v>5.882352941176471</v>
      </c>
      <c r="AA26" s="26">
        <f t="shared" si="11"/>
        <v>0.53027172769100206</v>
      </c>
      <c r="AB26" s="10"/>
      <c r="AC26" s="10"/>
      <c r="AD26" s="10"/>
      <c r="AE26" s="10"/>
      <c r="AF26" s="10"/>
    </row>
    <row r="27" spans="1:32" s="30" customFormat="1" x14ac:dyDescent="0.25">
      <c r="A27" s="30" t="s">
        <v>51</v>
      </c>
      <c r="B27" s="9">
        <f>IF(D17=0,"N/A",E17/(F17-D17))</f>
        <v>44.037813753163306</v>
      </c>
      <c r="D27" s="30" t="s">
        <v>51</v>
      </c>
      <c r="E27" s="9">
        <f>IF(OR(D17=0,H1=0),"N/A",F17/(H17-D17))</f>
        <v>22.459661102211061</v>
      </c>
      <c r="F27" s="11"/>
      <c r="G27" s="11"/>
      <c r="H27" s="30" t="s">
        <v>51</v>
      </c>
      <c r="I27" s="26" t="str">
        <f>IF(OR(D17=0,M1=0),"N/A",K17/(M17-I17))</f>
        <v>N/A</v>
      </c>
      <c r="J27" s="11"/>
      <c r="K27" s="30" t="s">
        <v>51</v>
      </c>
      <c r="L27" s="9">
        <f>IF(OR(D17=0,K1=0),"N/A",J17/(K17-I17))</f>
        <v>30.035527666636565</v>
      </c>
      <c r="M27" s="11"/>
      <c r="P27" s="31"/>
      <c r="Z27">
        <f>25*$B$13/51</f>
        <v>6.1274509803921573</v>
      </c>
      <c r="AA27" s="26">
        <f t="shared" si="11"/>
        <v>0.57538164897027133</v>
      </c>
      <c r="AB27" s="10"/>
      <c r="AC27" s="10"/>
      <c r="AD27" s="10"/>
      <c r="AE27" s="10"/>
      <c r="AF27" s="10"/>
    </row>
    <row r="28" spans="1:32" s="30" customFormat="1" x14ac:dyDescent="0.25">
      <c r="A28" s="30" t="s">
        <v>99</v>
      </c>
      <c r="B28" s="26"/>
      <c r="D28" s="30" t="s">
        <v>99</v>
      </c>
      <c r="E28" s="9">
        <f>IF(H1=0,"N/A",(F16-D16)/(H16-D16))</f>
        <v>0.4373299113430873</v>
      </c>
      <c r="F28" s="11"/>
      <c r="G28" s="11"/>
      <c r="I28" s="26"/>
      <c r="J28" s="11"/>
      <c r="K28" s="30" t="s">
        <v>99</v>
      </c>
      <c r="L28" s="9">
        <f>IF(K1=0,"N/A",(J16-I16)/(K16-I16))</f>
        <v>0.29508803099857212</v>
      </c>
      <c r="M28" s="11"/>
      <c r="P28" s="31"/>
      <c r="Z28">
        <f>29*$B$13/51</f>
        <v>7.1078431372549016</v>
      </c>
      <c r="AA28" s="26">
        <f t="shared" ref="AA28:AA48" si="12">$P$16 + $P$17*Z28^2 + $P$18*Z28^4 + $P$19*Z28^6</f>
        <v>0.77423354685439683</v>
      </c>
      <c r="AB28" s="10"/>
      <c r="AC28" s="10"/>
      <c r="AD28" s="10"/>
      <c r="AE28" s="10"/>
      <c r="AF28" s="10"/>
    </row>
    <row r="29" spans="1:32" s="30" customFormat="1" x14ac:dyDescent="0.25">
      <c r="A29" s="30" t="s">
        <v>100</v>
      </c>
      <c r="B29" s="26"/>
      <c r="D29" s="30" t="s">
        <v>100</v>
      </c>
      <c r="E29" s="9">
        <f>IF(OR(D17=0,H1=0),"N/A",(F17-D17)/(H17-D17))</f>
        <v>0.50449292917377564</v>
      </c>
      <c r="F29" s="11"/>
      <c r="G29" s="11"/>
      <c r="I29" s="26"/>
      <c r="J29" s="11"/>
      <c r="K29" s="30" t="s">
        <v>100</v>
      </c>
      <c r="L29" s="9">
        <f>IF(OR(D17=0,K1=0),"N/A",(J17-I17)/(K17-I17))</f>
        <v>0.28644563362133113</v>
      </c>
      <c r="M29" s="11"/>
      <c r="P29" s="31"/>
      <c r="Z29">
        <f>30*$B$13/51</f>
        <v>7.3529411764705879</v>
      </c>
      <c r="AA29" s="26">
        <f t="shared" si="12"/>
        <v>0.82854957451719036</v>
      </c>
      <c r="AB29" s="10"/>
      <c r="AC29" s="10"/>
      <c r="AD29" s="10"/>
      <c r="AE29" s="10"/>
      <c r="AF29" s="10"/>
    </row>
    <row r="30" spans="1:32" s="30" customFormat="1" x14ac:dyDescent="0.25">
      <c r="B30" s="26"/>
      <c r="C30" s="39"/>
      <c r="D30" s="40"/>
      <c r="E30" s="11"/>
      <c r="F30" s="11"/>
      <c r="G30" s="11"/>
      <c r="H30" s="11"/>
      <c r="I30" s="11"/>
      <c r="J30" s="11"/>
      <c r="K30" s="11"/>
      <c r="L30" s="11"/>
      <c r="M30" s="11"/>
      <c r="P30" s="31"/>
      <c r="Z30">
        <f>31*$B$13/51</f>
        <v>7.5980392156862742</v>
      </c>
      <c r="AA30" s="26">
        <f t="shared" si="12"/>
        <v>0.88470682345668883</v>
      </c>
      <c r="AB30" s="10"/>
      <c r="AC30" s="10"/>
      <c r="AD30" s="10"/>
      <c r="AE30" s="10"/>
      <c r="AF30" s="10"/>
    </row>
    <row r="31" spans="1:32" ht="15.75" thickBot="1" x14ac:dyDescent="0.3">
      <c r="G31" s="6"/>
      <c r="Z31">
        <f>32*$B$13/51</f>
        <v>7.8431372549019605</v>
      </c>
      <c r="AA31" s="26">
        <f t="shared" si="12"/>
        <v>0.94270529367289224</v>
      </c>
      <c r="AB31" s="10"/>
      <c r="AC31" s="10"/>
      <c r="AD31" s="10"/>
      <c r="AE31" s="10"/>
      <c r="AF31" s="10"/>
    </row>
    <row r="32" spans="1:32" ht="30.75" thickBot="1" x14ac:dyDescent="0.3">
      <c r="A32" s="2" t="s">
        <v>44</v>
      </c>
      <c r="C32" s="43">
        <v>0</v>
      </c>
      <c r="D32" s="30" t="s">
        <v>46</v>
      </c>
      <c r="Z32">
        <f>35*$B$13/51</f>
        <v>8.5784313725490193</v>
      </c>
      <c r="AA32" s="26">
        <f t="shared" si="12"/>
        <v>1.1277480319817312</v>
      </c>
      <c r="AB32" s="10"/>
      <c r="AC32" s="10"/>
      <c r="AD32" s="10"/>
      <c r="AE32" s="10"/>
      <c r="AF32" s="10"/>
    </row>
    <row r="33" spans="1:32" ht="30.75" thickBot="1" x14ac:dyDescent="0.3">
      <c r="A33" s="2" t="s">
        <v>45</v>
      </c>
      <c r="C33" s="43">
        <v>1</v>
      </c>
      <c r="D33" s="30" t="s">
        <v>47</v>
      </c>
      <c r="Z33">
        <f>36*$B$13/51</f>
        <v>8.8235294117647065</v>
      </c>
      <c r="AA33" s="26">
        <f t="shared" si="12"/>
        <v>1.1931113873047545</v>
      </c>
      <c r="AB33" s="10"/>
      <c r="AC33" s="10"/>
      <c r="AD33" s="10"/>
      <c r="AE33" s="10"/>
      <c r="AF33" s="10"/>
    </row>
    <row r="34" spans="1:32" ht="15.75" thickBot="1" x14ac:dyDescent="0.3">
      <c r="Z34">
        <f>37*$B$13/51</f>
        <v>9.0686274509803919</v>
      </c>
      <c r="AA34" s="26">
        <f t="shared" si="12"/>
        <v>1.2603159639044819</v>
      </c>
      <c r="AB34" s="10"/>
      <c r="AC34" s="10"/>
      <c r="AD34" s="10"/>
      <c r="AE34" s="10"/>
      <c r="AF34" s="10"/>
    </row>
    <row r="35" spans="1:32" ht="15.75" thickBot="1" x14ac:dyDescent="0.3">
      <c r="D35" s="30" t="s">
        <v>97</v>
      </c>
      <c r="E35" s="21" t="s">
        <v>108</v>
      </c>
      <c r="G35" t="s">
        <v>3</v>
      </c>
      <c r="H35" s="21">
        <v>0.05</v>
      </c>
      <c r="Z35">
        <f>38*$B$13/51</f>
        <v>9.3137254901960791</v>
      </c>
      <c r="AA35" s="26">
        <f t="shared" si="12"/>
        <v>1.3293617617809146</v>
      </c>
      <c r="AB35" s="10"/>
      <c r="AC35" s="10"/>
      <c r="AD35" s="10"/>
      <c r="AE35" s="10"/>
      <c r="AF35" s="10"/>
    </row>
    <row r="36" spans="1:32" x14ac:dyDescent="0.25">
      <c r="A36" s="1" t="s">
        <v>2</v>
      </c>
      <c r="D36" s="41" t="s">
        <v>98</v>
      </c>
      <c r="Z36">
        <f>39*$B$13/51</f>
        <v>9.5588235294117645</v>
      </c>
      <c r="AA36" s="26">
        <f t="shared" si="12"/>
        <v>1.4002487809340518</v>
      </c>
      <c r="AB36" s="10"/>
      <c r="AC36" s="10"/>
      <c r="AD36" s="10"/>
      <c r="AE36" s="10"/>
      <c r="AF36" s="10"/>
    </row>
    <row r="37" spans="1:32" x14ac:dyDescent="0.25">
      <c r="A37" t="str">
        <f>"PRV; PWL "&amp;D1*1000&amp;" "&amp;E1*1000&amp;" "&amp;F1*1000&amp;IF(G1=0,""," "&amp;G1*1000)&amp;IF(H1=0,""," "&amp;H1*1000)&amp;IF(I1=0,""," "&amp;I1*1000)&amp;IF(J1=0,""," "&amp;J1*1000)&amp;IF(K1=0,""," "&amp;K1*1000)&amp;IF(L1=0,""," "&amp;L1*1000)&amp;IF(M1=0,""," "&amp;M1*1000)&amp;" ; 'grin"&amp;E35&amp;"' "&amp;D16&amp;" "&amp;E16&amp;" "&amp;F16&amp;IF(G1=0,""," "&amp;G16)&amp;IF(H1=0,""," "&amp;H16)&amp;IF(I1=0,""," "&amp;I16)&amp;IF(J1=0,""," "&amp;J16)&amp;IF(K1=0,""," "&amp;K16)&amp;IF(L1=0,""," "&amp;L16)&amp;IF(M1=0,""," "&amp;M16)&amp;"; URN "&amp;H35&amp;"; URN C10 "&amp;D17&amp;" "&amp;E17&amp;" "&amp;F17&amp;IF(G1=0,""," "&amp;G17)&amp;IF(H1=0,""," "&amp;H17)&amp;IF(I1=0,""," "&amp;I17)&amp;IF(J1=0,""," "&amp;J17)&amp;IF(K1=0,""," "&amp;K17)&amp;IF(L1=0,""," "&amp;L17)&amp;IF(M1=0,""," "&amp;M17)&amp;"; URN C20 "&amp;D18&amp;" "&amp;E18&amp;" "&amp;F18&amp;IF(G1=0,""," "&amp;G18)&amp;IF(H1=0,""," "&amp;H18)&amp;IF(I1=0,""," "&amp;I18)&amp;IF(J1=0,""," "&amp;J18)&amp;IF(K1=0,""," "&amp;K18)&amp;IF(L1=0,""," "&amp;L18)&amp;IF(M1=0,""," "&amp;M18)&amp;"; URN C30 "&amp;D19&amp;" "&amp;E19&amp;" "&amp;F19&amp;IF(G1=0,""," "&amp;G19)&amp;IF(H1=0,""," "&amp;H19)&amp;IF(I1=0,""," "&amp;I19)&amp;IF(J1=0,""," "&amp;J19)&amp;IF(K1=0,""," "&amp;K19)&amp;IF(L1=0,""," "&amp;L19)&amp;IF(M1=0,""," "&amp;M19)&amp;"; END;"</f>
        <v>PRV; PWL 1700 1500 1300 1100 900 656.2725 587.5618 486.1327 ; 'grinmat' 1.5605923706699 1.56310683017796 1.56565661206183 1.5684918968858 1.57217228153484 1.58023258084966 1.58433125663604 1.59412225225554; URN 0.05; URN C10 0.0006 0.000607149045171784 0.000613786993345649 0.000620261205179646 0.000627328417403646 0.000640154470085696 0.000646318339363939 0.000661672931373855; URN C20 0 0 0 0 0 0 0 0; URN C30 0 0 0 0 0 0 0 0; END;</v>
      </c>
      <c r="Z37">
        <f>40*$B$13/51</f>
        <v>9.8039215686274517</v>
      </c>
      <c r="AA37" s="26">
        <f t="shared" si="12"/>
        <v>1.4729770213638944</v>
      </c>
      <c r="AB37" s="10"/>
      <c r="AC37" s="10"/>
      <c r="AD37" s="10"/>
      <c r="AE37" s="10"/>
      <c r="AF37" s="10"/>
    </row>
    <row r="38" spans="1:32" x14ac:dyDescent="0.25">
      <c r="Z38">
        <f>41*$B$13/51</f>
        <v>10.049019607843137</v>
      </c>
      <c r="AA38" s="26">
        <f t="shared" si="12"/>
        <v>1.5475464830704413</v>
      </c>
    </row>
    <row r="39" spans="1:32" x14ac:dyDescent="0.25">
      <c r="A39" s="1" t="s">
        <v>5</v>
      </c>
      <c r="Z39">
        <f>42*$B$13/51</f>
        <v>10.294117647058824</v>
      </c>
      <c r="AA39" s="26">
        <f t="shared" si="12"/>
        <v>1.6239571660536936</v>
      </c>
      <c r="AB39" s="10"/>
      <c r="AC39" s="10"/>
      <c r="AD39" s="10"/>
      <c r="AE39" s="10"/>
      <c r="AF39" s="10"/>
    </row>
    <row r="40" spans="1:32" x14ac:dyDescent="0.25">
      <c r="A40" t="str">
        <f>"GRC C0 'grin"&amp;E35&amp;"' "&amp;IF(C16="yes",0,100)&amp;"; GRC C10 'grin"&amp;E35&amp;"' "&amp;IF(C17="yes",0,100)&amp;"; GRC C20 'grin"&amp;E35&amp;"' "&amp;IF(C18="yes",0,100)&amp;";GRC C30 'grin"&amp;E35&amp;"' "&amp;IF(C19="yes",0,100)&amp;";"</f>
        <v>GRC C0 'grinmat' 0; GRC C10 'grinmat' 0; GRC C20 'grinmat' 0;GRC C30 'grinmat' 100;</v>
      </c>
      <c r="Z40">
        <f>43*$B$13/51</f>
        <v>10.53921568627451</v>
      </c>
      <c r="AA40" s="26">
        <f t="shared" si="12"/>
        <v>1.7022090703136501</v>
      </c>
      <c r="AB40" s="10"/>
      <c r="AC40" s="10"/>
      <c r="AD40" s="10"/>
      <c r="AE40" s="10"/>
      <c r="AF40" s="10"/>
    </row>
    <row r="41" spans="1:32" x14ac:dyDescent="0.25">
      <c r="Z41">
        <f>44*$B$13/51</f>
        <v>10.784313725490197</v>
      </c>
      <c r="AA41" s="26">
        <f t="shared" si="12"/>
        <v>1.7823021958503122</v>
      </c>
      <c r="AB41" s="10"/>
      <c r="AC41" s="10"/>
      <c r="AD41" s="10"/>
      <c r="AE41" s="10"/>
      <c r="AF41" s="10"/>
    </row>
    <row r="42" spans="1:32" x14ac:dyDescent="0.25">
      <c r="A42" s="1" t="s">
        <v>10</v>
      </c>
      <c r="Z42">
        <f>45*$B$13/51</f>
        <v>11.029411764705882</v>
      </c>
      <c r="AA42" s="26">
        <f t="shared" si="12"/>
        <v>1.8642365426636784</v>
      </c>
      <c r="AB42" s="10"/>
      <c r="AC42" s="10"/>
      <c r="AD42" s="10"/>
      <c r="AE42" s="10"/>
      <c r="AF42" s="10"/>
    </row>
    <row r="43" spans="1:32" x14ac:dyDescent="0.25">
      <c r="A43" s="4" t="str">
        <f>"! CONSTRAINTS FOR OPTIMIZING RADIAL GRADIENT WITH R^2, R^4, and R^6 TERMS ON ELEMENT grin"&amp;E35</f>
        <v>! CONSTRAINTS FOR OPTIMIZING RADIAL GRADIENT WITH R^2, R^4, and R^6 TERMS ON ELEMENT grinmat</v>
      </c>
      <c r="Z43">
        <f>46*$B$13/51</f>
        <v>11.274509803921569</v>
      </c>
      <c r="AA43" s="26">
        <f t="shared" si="12"/>
        <v>1.9480121107537505</v>
      </c>
      <c r="AB43" s="10"/>
      <c r="AC43" s="10"/>
      <c r="AD43" s="10"/>
      <c r="AE43" s="10"/>
      <c r="AF43" s="10"/>
    </row>
    <row r="44" spans="1:32" s="30" customFormat="1" x14ac:dyDescent="0.25">
      <c r="A44" s="4" t="str">
        <f>"! LAST EDITED ON 02-21-2012 BY PETER MCCARTHY"</f>
        <v>! LAST EDITED ON 02-21-2012 BY PETER MCCARTHY</v>
      </c>
      <c r="Z44">
        <f>47*$B$13/51</f>
        <v>11.519607843137255</v>
      </c>
      <c r="AA44" s="26">
        <f t="shared" si="12"/>
        <v>2.0336289001205263</v>
      </c>
      <c r="AB44" s="10"/>
      <c r="AC44" s="10"/>
      <c r="AD44" s="10"/>
      <c r="AE44" s="10"/>
      <c r="AF44" s="10"/>
    </row>
    <row r="45" spans="1:32" x14ac:dyDescent="0.25">
      <c r="A45" s="4" t="str">
        <f>"! Define gradient coefficients at all wavelengths"</f>
        <v>! Define gradient coefficients at all wavelengths</v>
      </c>
      <c r="Z45">
        <f>48*$B$13/51</f>
        <v>11.764705882352942</v>
      </c>
      <c r="AA45" s="26">
        <f t="shared" si="12"/>
        <v>2.1210869107640082</v>
      </c>
      <c r="AB45" s="10"/>
      <c r="AC45" s="10"/>
      <c r="AD45" s="10"/>
      <c r="AE45" s="10"/>
      <c r="AF45" s="10"/>
    </row>
    <row r="46" spans="1:32" x14ac:dyDescent="0.25">
      <c r="A46" s="4" t="str">
        <f>"@N0_10_"&amp;E35&amp;" == (GRN C0 S'grin"&amp;E35&amp;"' W1)"</f>
        <v>@N0_10_mat == (GRN C0 S'grinmat' W1)</v>
      </c>
      <c r="Z46">
        <f>49*$B$13/51</f>
        <v>12.009803921568627</v>
      </c>
      <c r="AA46" s="26">
        <f t="shared" si="12"/>
        <v>2.2103861426841935</v>
      </c>
      <c r="AB46" s="10"/>
      <c r="AC46" s="10"/>
      <c r="AD46" s="10"/>
      <c r="AE46" s="10"/>
      <c r="AF46" s="10"/>
    </row>
    <row r="47" spans="1:32" x14ac:dyDescent="0.25">
      <c r="A47" s="4" t="str">
        <f>"@N0_9_"&amp;E35&amp;" == (GRN C0 S'grin"&amp;E35&amp;"' W2)"</f>
        <v>@N0_9_mat == (GRN C0 S'grinmat' W2)</v>
      </c>
      <c r="Z47">
        <f>50*$B$13/51</f>
        <v>12.254901960784315</v>
      </c>
      <c r="AA47" s="26">
        <f t="shared" si="12"/>
        <v>2.3015265958810853</v>
      </c>
      <c r="AB47" s="10"/>
      <c r="AC47" s="10"/>
      <c r="AD47" s="10"/>
      <c r="AE47" s="10"/>
      <c r="AF47" s="10"/>
    </row>
    <row r="48" spans="1:32" x14ac:dyDescent="0.25">
      <c r="A48" s="4" t="str">
        <f>"@N0_8_"&amp;E35&amp;" == (GRN C0 S'grin"&amp;E35&amp;"' W3)"</f>
        <v>@N0_8_mat == (GRN C0 S'grinmat' W3)</v>
      </c>
      <c r="Z48">
        <f>51*$B$13/51</f>
        <v>12.5</v>
      </c>
      <c r="AA48" s="26">
        <f t="shared" si="12"/>
        <v>2.3945082703546805</v>
      </c>
      <c r="AB48" s="10"/>
      <c r="AC48" s="10"/>
      <c r="AD48" s="10"/>
      <c r="AE48" s="10"/>
      <c r="AF48" s="10"/>
    </row>
    <row r="49" spans="1:32" x14ac:dyDescent="0.25">
      <c r="A49" s="4" t="str">
        <f>IF(G1=0,"","@N0_7_"&amp;E35&amp;" == (GRN C0 S'grin"&amp;E35&amp;"' W4)")</f>
        <v>@N0_7_mat == (GRN C0 S'grinmat' W4)</v>
      </c>
      <c r="AB49" s="10"/>
      <c r="AC49" s="10"/>
      <c r="AD49" s="10"/>
      <c r="AE49" s="10"/>
      <c r="AF49" s="10"/>
    </row>
    <row r="50" spans="1:32" x14ac:dyDescent="0.25">
      <c r="A50" s="4" t="str">
        <f>IF(H1=0,"","@N0_6_"&amp;E35&amp;" == (GRN C0 S'grin"&amp;E35&amp;"' W5)")</f>
        <v>@N0_6_mat == (GRN C0 S'grinmat' W5)</v>
      </c>
      <c r="AB50" s="10"/>
      <c r="AC50" s="10"/>
      <c r="AD50" s="10"/>
      <c r="AE50" s="10"/>
      <c r="AF50" s="10"/>
    </row>
    <row r="51" spans="1:32" s="30" customFormat="1" x14ac:dyDescent="0.25">
      <c r="A51" s="4" t="str">
        <f>IF(I1=0,"","@N0_5_"&amp;E35&amp;" == (GRN C0 S'grin"&amp;E35&amp;"' W6)")</f>
        <v>@N0_5_mat == (GRN C0 S'grinmat' W6)</v>
      </c>
      <c r="AB51" s="10"/>
      <c r="AC51" s="10"/>
      <c r="AD51" s="10"/>
      <c r="AE51" s="10"/>
      <c r="AF51" s="10"/>
    </row>
    <row r="52" spans="1:32" s="30" customFormat="1" x14ac:dyDescent="0.25">
      <c r="A52" s="4" t="str">
        <f>IF(J1=0,"","@N0_4_"&amp;E35&amp;" == (GRN C0 S'grin"&amp;E35&amp;"' W7)")</f>
        <v>@N0_4_mat == (GRN C0 S'grinmat' W7)</v>
      </c>
      <c r="AB52" s="10"/>
      <c r="AC52" s="10"/>
      <c r="AD52" s="10"/>
      <c r="AE52" s="10"/>
      <c r="AF52" s="10"/>
    </row>
    <row r="53" spans="1:32" s="30" customFormat="1" x14ac:dyDescent="0.25">
      <c r="A53" s="4" t="str">
        <f>IF(K1=0,"","@N0_3_"&amp;E35&amp;" == (GRN C0 S'grin"&amp;E35&amp;"' W8)")</f>
        <v>@N0_3_mat == (GRN C0 S'grinmat' W8)</v>
      </c>
      <c r="AB53" s="10"/>
      <c r="AC53" s="10"/>
      <c r="AD53" s="10"/>
      <c r="AE53" s="10"/>
      <c r="AF53" s="10"/>
    </row>
    <row r="54" spans="1:32" s="30" customFormat="1" x14ac:dyDescent="0.25">
      <c r="A54" s="4" t="str">
        <f>IF(L1=0,"","@N0_2_"&amp;E35&amp;" == (GRN C0 S'grin"&amp;E35&amp;"' W9)")</f>
        <v/>
      </c>
      <c r="AB54" s="10"/>
      <c r="AC54" s="10"/>
      <c r="AD54" s="10"/>
      <c r="AE54" s="10"/>
      <c r="AF54" s="10"/>
    </row>
    <row r="55" spans="1:32" s="30" customFormat="1" x14ac:dyDescent="0.25">
      <c r="A55" s="4" t="str">
        <f>IF(M1=0,"","@N0_1_"&amp;E35&amp;" == (GRN C0 S'grin"&amp;E35&amp;"' W10)")</f>
        <v/>
      </c>
      <c r="AB55" s="10"/>
      <c r="AC55" s="10"/>
      <c r="AD55" s="10"/>
      <c r="AE55" s="10"/>
      <c r="AF55" s="10"/>
    </row>
    <row r="56" spans="1:32" x14ac:dyDescent="0.25">
      <c r="A56" s="4" t="str">
        <f>"@N10_10_"&amp;E35&amp;" == (GRN C10 S'grin"&amp;E35&amp;"' W1)"</f>
        <v>@N10_10_mat == (GRN C10 S'grinmat' W1)</v>
      </c>
      <c r="AB56" s="10"/>
      <c r="AC56" s="10"/>
      <c r="AD56" s="10"/>
      <c r="AE56" s="10"/>
      <c r="AF56" s="10"/>
    </row>
    <row r="57" spans="1:32" x14ac:dyDescent="0.25">
      <c r="A57" s="4" t="str">
        <f>"@N10_9_"&amp;E35&amp;" == (GRN C10 S'grin"&amp;E35&amp;"' W2)"</f>
        <v>@N10_9_mat == (GRN C10 S'grinmat' W2)</v>
      </c>
      <c r="AB57" s="10"/>
      <c r="AC57" s="10"/>
      <c r="AD57" s="10"/>
      <c r="AE57" s="10"/>
      <c r="AF57" s="10"/>
    </row>
    <row r="58" spans="1:32" x14ac:dyDescent="0.25">
      <c r="A58" s="4" t="str">
        <f>"@N10_8_"&amp;E35&amp;" == (GRN C10 S'grin"&amp;E35&amp;"' W3)"</f>
        <v>@N10_8_mat == (GRN C10 S'grinmat' W3)</v>
      </c>
      <c r="AB58" s="10"/>
      <c r="AC58" s="10"/>
      <c r="AD58" s="10"/>
      <c r="AE58" s="10"/>
      <c r="AF58" s="10"/>
    </row>
    <row r="59" spans="1:32" x14ac:dyDescent="0.25">
      <c r="A59" s="4" t="str">
        <f>IF(G1=0,"","@N10_7_"&amp;E35&amp;" == (GRN C10 S'grin"&amp;E35&amp;"' W4)")</f>
        <v>@N10_7_mat == (GRN C10 S'grinmat' W4)</v>
      </c>
      <c r="AB59" s="10"/>
      <c r="AC59" s="10"/>
      <c r="AD59" s="10"/>
      <c r="AE59" s="10"/>
      <c r="AF59" s="10"/>
    </row>
    <row r="60" spans="1:32" x14ac:dyDescent="0.25">
      <c r="A60" s="4" t="str">
        <f>IF(H1=0,"","@N10_6_"&amp;E35&amp;" == (GRN C10 S'grin"&amp;E35&amp;"' W5)")</f>
        <v>@N10_6_mat == (GRN C10 S'grinmat' W5)</v>
      </c>
      <c r="AB60" s="10"/>
      <c r="AC60" s="10"/>
      <c r="AD60" s="10"/>
      <c r="AE60" s="10"/>
      <c r="AF60" s="10"/>
    </row>
    <row r="61" spans="1:32" s="30" customFormat="1" x14ac:dyDescent="0.25">
      <c r="A61" s="4" t="str">
        <f>IF(I1=0,"","@N10_5_"&amp;E35&amp;" == (GRN C10 S'grin"&amp;E35&amp;"' W6)")</f>
        <v>@N10_5_mat == (GRN C10 S'grinmat' W6)</v>
      </c>
      <c r="AB61" s="10"/>
      <c r="AC61" s="10"/>
      <c r="AD61" s="10"/>
      <c r="AE61" s="10"/>
      <c r="AF61" s="10"/>
    </row>
    <row r="62" spans="1:32" s="30" customFormat="1" x14ac:dyDescent="0.25">
      <c r="A62" s="4" t="str">
        <f>IF(J1=0,"","@N10_4_"&amp;E35&amp;" == (GRN C10 S'grin"&amp;E35&amp;"' W7)")</f>
        <v>@N10_4_mat == (GRN C10 S'grinmat' W7)</v>
      </c>
      <c r="AB62" s="10"/>
      <c r="AC62" s="10"/>
      <c r="AD62" s="10"/>
      <c r="AE62" s="10"/>
      <c r="AF62" s="10"/>
    </row>
    <row r="63" spans="1:32" s="30" customFormat="1" x14ac:dyDescent="0.25">
      <c r="A63" s="4" t="str">
        <f>IF(K1=0,"","@N10_3_"&amp;E35&amp;" == (GRN C10 S'grin"&amp;E35&amp;"' W8)")</f>
        <v>@N10_3_mat == (GRN C10 S'grinmat' W8)</v>
      </c>
      <c r="AB63" s="10"/>
      <c r="AC63" s="10"/>
      <c r="AD63" s="10"/>
      <c r="AE63" s="10"/>
      <c r="AF63" s="10"/>
    </row>
    <row r="64" spans="1:32" s="30" customFormat="1" x14ac:dyDescent="0.25">
      <c r="A64" s="4" t="str">
        <f>IF(L1=0,"","@N10_2_"&amp;E35&amp;" == (GRN C10 S'grin"&amp;E35&amp;"' W9)")</f>
        <v/>
      </c>
      <c r="AB64" s="10"/>
      <c r="AC64" s="10"/>
      <c r="AD64" s="10"/>
      <c r="AE64" s="10"/>
      <c r="AF64" s="10"/>
    </row>
    <row r="65" spans="1:32" s="30" customFormat="1" x14ac:dyDescent="0.25">
      <c r="A65" s="4" t="str">
        <f>IF(M1=0,"","@N10_1_"&amp;E35&amp;" == (GRN C10 S'grin"&amp;E35&amp;"' W10)")</f>
        <v/>
      </c>
      <c r="AB65" s="10"/>
      <c r="AC65" s="10"/>
      <c r="AD65" s="10"/>
      <c r="AE65" s="10"/>
      <c r="AF65" s="10"/>
    </row>
    <row r="66" spans="1:32" x14ac:dyDescent="0.25">
      <c r="A66" s="4" t="str">
        <f>"@N20_10_"&amp;E35&amp;" == (GRN C20 S'grin"&amp;E35&amp;"' W1)"</f>
        <v>@N20_10_mat == (GRN C20 S'grinmat' W1)</v>
      </c>
      <c r="AB66" s="10"/>
      <c r="AC66" s="10"/>
      <c r="AD66" s="10"/>
      <c r="AE66" s="10"/>
      <c r="AF66" s="10"/>
    </row>
    <row r="67" spans="1:32" x14ac:dyDescent="0.25">
      <c r="A67" s="4" t="str">
        <f>"@N20_9_"&amp;E35&amp;" == (GRN C20 S'grin"&amp;E35&amp;"' W2)"</f>
        <v>@N20_9_mat == (GRN C20 S'grinmat' W2)</v>
      </c>
      <c r="AB67" s="10"/>
      <c r="AC67" s="10"/>
      <c r="AD67" s="10"/>
      <c r="AE67" s="10"/>
      <c r="AF67" s="10"/>
    </row>
    <row r="68" spans="1:32" x14ac:dyDescent="0.25">
      <c r="A68" s="4" t="str">
        <f>"@N20_8_"&amp;E35&amp;" == (GRN C20 S'grin"&amp;E35&amp;"' W3)"</f>
        <v>@N20_8_mat == (GRN C20 S'grinmat' W3)</v>
      </c>
      <c r="AB68" s="10"/>
      <c r="AC68" s="10"/>
      <c r="AD68" s="10"/>
      <c r="AE68" s="10"/>
      <c r="AF68" s="10"/>
    </row>
    <row r="69" spans="1:32" x14ac:dyDescent="0.25">
      <c r="A69" s="4" t="str">
        <f>IF(G1=0,"","@N20_7_"&amp;E35&amp;" == (GRN C20 S'grin"&amp;E35&amp;"' W4)")</f>
        <v>@N20_7_mat == (GRN C20 S'grinmat' W4)</v>
      </c>
      <c r="AB69" s="10"/>
      <c r="AC69" s="10"/>
      <c r="AD69" s="10"/>
      <c r="AE69" s="10"/>
      <c r="AF69" s="10"/>
    </row>
    <row r="70" spans="1:32" x14ac:dyDescent="0.25">
      <c r="A70" s="4" t="str">
        <f>IF(H1=0,"","@N20_6_"&amp;E35&amp;" == (GRN C20 S'grin"&amp;E35&amp;"' W5)")</f>
        <v>@N20_6_mat == (GRN C20 S'grinmat' W5)</v>
      </c>
      <c r="AB70" s="10"/>
      <c r="AC70" s="10"/>
      <c r="AD70" s="10"/>
      <c r="AE70" s="10"/>
      <c r="AF70" s="10"/>
    </row>
    <row r="71" spans="1:32" s="30" customFormat="1" x14ac:dyDescent="0.25">
      <c r="A71" s="4" t="str">
        <f>IF(I1=0,"","@N20_5_"&amp;E35&amp;" == (GRN C20 S'grin"&amp;E35&amp;"' W6)")</f>
        <v>@N20_5_mat == (GRN C20 S'grinmat' W6)</v>
      </c>
      <c r="AB71" s="10"/>
      <c r="AC71" s="10"/>
      <c r="AD71" s="10"/>
      <c r="AE71" s="10"/>
      <c r="AF71" s="10"/>
    </row>
    <row r="72" spans="1:32" s="30" customFormat="1" x14ac:dyDescent="0.25">
      <c r="A72" s="4" t="str">
        <f>IF(J1=0,"","@N20_4_"&amp;E35&amp;" == (GRN C20 S'grin"&amp;E35&amp;"' W7)")</f>
        <v>@N20_4_mat == (GRN C20 S'grinmat' W7)</v>
      </c>
      <c r="AB72" s="10"/>
      <c r="AC72" s="10"/>
      <c r="AD72" s="10"/>
      <c r="AE72" s="10"/>
      <c r="AF72" s="10"/>
    </row>
    <row r="73" spans="1:32" s="30" customFormat="1" x14ac:dyDescent="0.25">
      <c r="A73" s="4" t="str">
        <f>IF(K1=0,"","@N20_3_"&amp;E35&amp;" == (GRN C20 S'grin"&amp;E35&amp;"' W8)")</f>
        <v>@N20_3_mat == (GRN C20 S'grinmat' W8)</v>
      </c>
      <c r="AB73" s="10"/>
      <c r="AC73" s="10"/>
      <c r="AD73" s="10"/>
      <c r="AE73" s="10"/>
      <c r="AF73" s="10"/>
    </row>
    <row r="74" spans="1:32" s="30" customFormat="1" x14ac:dyDescent="0.25">
      <c r="A74" s="4" t="str">
        <f>IF(L1=0,"","@N20_2_"&amp;E35&amp;" == (GRN C20 S'grin"&amp;E35&amp;"' W9)")</f>
        <v/>
      </c>
      <c r="AB74" s="10"/>
      <c r="AC74" s="10"/>
      <c r="AD74" s="10"/>
      <c r="AE74" s="10"/>
      <c r="AF74" s="10"/>
    </row>
    <row r="75" spans="1:32" s="30" customFormat="1" x14ac:dyDescent="0.25">
      <c r="A75" s="4" t="str">
        <f>IF(M1=0,"","@N20_1_"&amp;E35&amp;" == (GRN C20 S'grin"&amp;E35&amp;"' W10)")</f>
        <v/>
      </c>
      <c r="AB75" s="10"/>
      <c r="AC75" s="10"/>
      <c r="AD75" s="10"/>
      <c r="AE75" s="10"/>
      <c r="AF75" s="10"/>
    </row>
    <row r="76" spans="1:32" x14ac:dyDescent="0.25">
      <c r="A76" s="4" t="str">
        <f>"@N30_10_"&amp;E35&amp;" == (GRN C30 S'grin"&amp;E35&amp;"' W1)"</f>
        <v>@N30_10_mat == (GRN C30 S'grinmat' W1)</v>
      </c>
      <c r="AB76" s="10"/>
      <c r="AC76" s="10"/>
      <c r="AD76" s="10"/>
      <c r="AE76" s="10"/>
      <c r="AF76" s="10"/>
    </row>
    <row r="77" spans="1:32" x14ac:dyDescent="0.25">
      <c r="A77" s="4" t="str">
        <f>"@N30_9_"&amp;E35&amp;" == (GRN C30 S'grin"&amp;E35&amp;"' W2)"</f>
        <v>@N30_9_mat == (GRN C30 S'grinmat' W2)</v>
      </c>
      <c r="AB77" s="10"/>
      <c r="AC77" s="10"/>
      <c r="AD77" s="10"/>
      <c r="AE77" s="10"/>
      <c r="AF77" s="10"/>
    </row>
    <row r="78" spans="1:32" x14ac:dyDescent="0.25">
      <c r="A78" s="4" t="str">
        <f>"@N30_8_"&amp;E35&amp;" == (GRN C30 S'grin"&amp;E35&amp;"' W3)"</f>
        <v>@N30_8_mat == (GRN C30 S'grinmat' W3)</v>
      </c>
    </row>
    <row r="79" spans="1:32" x14ac:dyDescent="0.25">
      <c r="A79" s="4" t="str">
        <f>IF(G1=0,"","@N30_7_"&amp;E35&amp;" == (GRN C30 S'grin"&amp;E35&amp;"' W4)")</f>
        <v>@N30_7_mat == (GRN C30 S'grinmat' W4)</v>
      </c>
    </row>
    <row r="80" spans="1:32" x14ac:dyDescent="0.25">
      <c r="A80" s="4" t="str">
        <f>IF(H1=0,"","@N30_6_"&amp;E35&amp;" == (GRN C30 S'grin"&amp;E35&amp;"' W5)")</f>
        <v>@N30_6_mat == (GRN C30 S'grinmat' W5)</v>
      </c>
    </row>
    <row r="81" spans="1:1" s="30" customFormat="1" x14ac:dyDescent="0.25">
      <c r="A81" s="4" t="str">
        <f>IF(I1=0,"","@N30_5_"&amp;E35&amp;" == (GRN C30 S'grin"&amp;E35&amp;"' W6)")</f>
        <v>@N30_5_mat == (GRN C30 S'grinmat' W6)</v>
      </c>
    </row>
    <row r="82" spans="1:1" s="30" customFormat="1" x14ac:dyDescent="0.25">
      <c r="A82" s="4" t="str">
        <f>IF(J1=0,"","@N30_4_"&amp;E35&amp;" == (GRN C30 S'grin"&amp;E35&amp;"' W7)")</f>
        <v>@N30_4_mat == (GRN C30 S'grinmat' W7)</v>
      </c>
    </row>
    <row r="83" spans="1:1" s="30" customFormat="1" x14ac:dyDescent="0.25">
      <c r="A83" s="4" t="str">
        <f>IF(K1=0,"","@N30_3_"&amp;E35&amp;" == (GRN C30 S'grin"&amp;E35&amp;"' W8)")</f>
        <v>@N30_3_mat == (GRN C30 S'grinmat' W8)</v>
      </c>
    </row>
    <row r="84" spans="1:1" s="30" customFormat="1" x14ac:dyDescent="0.25">
      <c r="A84" s="4" t="str">
        <f>IF(L1=0,"","@N30_2_"&amp;E35&amp;" == (GRN C30 S'grin"&amp;E35&amp;"' W9)")</f>
        <v/>
      </c>
    </row>
    <row r="85" spans="1:1" s="30" customFormat="1" x14ac:dyDescent="0.25">
      <c r="A85" s="4" t="str">
        <f>IF(M1=0,"","@N30_1_"&amp;E35&amp;" == (GRN C30 S'grin"&amp;E35&amp;"' W10)")</f>
        <v/>
      </c>
    </row>
    <row r="86" spans="1:1" x14ac:dyDescent="0.25">
      <c r="A86" s="4" t="str">
        <f>"@rmax_"&amp;E35&amp;" == MAXF((MAP s'grin"&amp;E35&amp;"'),(MAP s'grin"&amp;E35&amp;"'+1))"</f>
        <v>@rmax_mat == MAXF((MAP s'grinmat'),(MAP s'grinmat'+1))</v>
      </c>
    </row>
    <row r="87" spans="1:1" x14ac:dyDescent="0.25">
      <c r="A87" s="4"/>
    </row>
    <row r="88" spans="1:1" x14ac:dyDescent="0.25">
      <c r="A88" s="4" t="str">
        <f>"! Define gradient coefficient difference compared to reference wavelength for all wavelengths"</f>
        <v>! Define gradient coefficient difference compared to reference wavelength for all wavelengths</v>
      </c>
    </row>
    <row r="89" spans="1:1" x14ac:dyDescent="0.25">
      <c r="A89" s="4" t="str">
        <f>"@dN0_9_"&amp;E35&amp;" == "&amp;E2&amp;"*((@N0_10_"&amp;E35&amp;")-"&amp;D3&amp;")/"&amp;D2&amp;"+"&amp;E3&amp;"-(@N0_9_"&amp;E35&amp;")"</f>
        <v>@dN0_9_mat == 0.0396185887025728*((@N0_10_mat)-1.5605923706699)/0.0391520886190606+1.56310683017796-(@N0_9_mat)</v>
      </c>
    </row>
    <row r="90" spans="1:1" x14ac:dyDescent="0.25">
      <c r="A90" s="4" t="str">
        <f>"@dN0_8_"&amp;E35&amp;" == "&amp;F2&amp;"*((@N0_10_"&amp;E35&amp;")-"&amp;D3&amp;")/"&amp;D2&amp;"+"&amp;F3&amp;"-(@N0_8_"&amp;E35&amp;")"</f>
        <v>@dN0_8_mat == 0.040051737927826*((@N0_10_mat)-1.5605923706699)/0.0391520886190606+1.56565661206183-(@N0_8_mat)</v>
      </c>
    </row>
    <row r="91" spans="1:1" x14ac:dyDescent="0.25">
      <c r="A91" s="4" t="str">
        <f>IF(G1=0,"","@dN0_7_"&amp;E35&amp;" == "&amp;G2&amp;"*((@N0_10_"&amp;E35&amp;")-"&amp;D3&amp;")/"&amp;D2&amp;"+"&amp;G3&amp;"-(@N0_7_"&amp;E35&amp;")")</f>
        <v>@dN0_7_mat == 0.0404742027869314*((@N0_10_mat)-1.5605923706699)/0.0391520886190606+1.5684918968858-(@N0_7_mat)</v>
      </c>
    </row>
    <row r="92" spans="1:1" x14ac:dyDescent="0.25">
      <c r="A92" s="4" t="str">
        <f>IF(H1=0,"","@dN0_6_"&amp;E35&amp;" == "&amp;H2&amp;"*((@N0_10_"&amp;E35&amp;")-"&amp;D3&amp;")/"&amp;D2&amp;"+"&amp;H3&amp;"-(@N0_6_"&amp;E35&amp;")")</f>
        <v>@dN0_6_mat == 0.0409353629857376*((@N0_10_mat)-1.5605923706699)/0.0391520886190606+1.57217228153484-(@N0_6_mat)</v>
      </c>
    </row>
    <row r="93" spans="1:1" s="30" customFormat="1" x14ac:dyDescent="0.25">
      <c r="A93" s="4" t="str">
        <f>IF(I1=0,"","@dN0_5_"&amp;E35&amp;" == "&amp;I2&amp;"*((@N0_10_"&amp;E35&amp;")-"&amp;D3&amp;")/"&amp;D2&amp;"+"&amp;I3&amp;"-(@N0_5_"&amp;E35&amp;")")</f>
        <v>@dN0_5_mat == 0.0417723075711383*((@N0_10_mat)-1.5605923706699)/0.0391520886190606+1.58023258084966-(@N0_5_mat)</v>
      </c>
    </row>
    <row r="94" spans="1:1" s="30" customFormat="1" x14ac:dyDescent="0.25">
      <c r="A94" s="4" t="str">
        <f>IF(J1=0,"","@dN0_4_"&amp;E35&amp;" == "&amp;J2&amp;"*((@N0_10_"&amp;E35&amp;")-"&amp;D3&amp;")/"&amp;D2&amp;"+"&amp;J3&amp;"-(@N0_4_"&amp;E35&amp;")")</f>
        <v>@dN0_4_mat == 0.0421745214981684*((@N0_10_mat)-1.5605923706699)/0.0391520886190606+1.58433125663604-(@N0_4_mat)</v>
      </c>
    </row>
    <row r="95" spans="1:1" s="30" customFormat="1" x14ac:dyDescent="0.25">
      <c r="A95" s="4" t="str">
        <f>IF(K1=0,"","@dN0_3_"&amp;E35&amp;" == "&amp;K2&amp;"*((@N0_10_"&amp;E35&amp;")-"&amp;D3&amp;")/"&amp;D2&amp;"+"&amp;K3&amp;"-(@N0_3_"&amp;E35&amp;")")</f>
        <v>@dN0_3_mat == 0.0431764620766379*((@N0_10_mat)-1.5605923706699)/0.0391520886190606+1.59412225225554-(@N0_3_mat)</v>
      </c>
    </row>
    <row r="96" spans="1:1" s="30" customFormat="1" x14ac:dyDescent="0.25">
      <c r="A96" s="4" t="str">
        <f>IF(L1=0,"","@dN0_2_"&amp;E35&amp;" == "&amp;L2&amp;"*((@N0_10_"&amp;E35&amp;")-"&amp;D3&amp;")/"&amp;D2&amp;"+"&amp;L3&amp;"-(@N0_2_"&amp;E35&amp;")")</f>
        <v/>
      </c>
    </row>
    <row r="97" spans="1:1" s="30" customFormat="1" x14ac:dyDescent="0.25">
      <c r="A97" s="4" t="str">
        <f>IF(M1=0,"","@dN0_1_"&amp;E35&amp;" == "&amp;M2&amp;"*((@N0_10_"&amp;E35&amp;")-"&amp;D3&amp;")/"&amp;D2&amp;"+"&amp;M3&amp;"-(@N0_1_"&amp;E35&amp;")")</f>
        <v/>
      </c>
    </row>
    <row r="98" spans="1:1" x14ac:dyDescent="0.25">
      <c r="A98" s="4" t="str">
        <f>"@dN10_9_"&amp;E35&amp;" == ("&amp;E2&amp;"*((@N10_10_"&amp;E35&amp;"))/"&amp;D2&amp;"-(@N10_9_"&amp;E35&amp;"))*(@rmax_"&amp;E35&amp;")**2"</f>
        <v>@dN10_9_mat == (0.0396185887025728*((@N10_10_mat))/0.0391520886190606-(@N10_9_mat))*(@rmax_mat)**2</v>
      </c>
    </row>
    <row r="99" spans="1:1" x14ac:dyDescent="0.25">
      <c r="A99" s="4" t="str">
        <f>"@dN10_8_"&amp;E35&amp;" == ("&amp;F2&amp;"*((@N10_10_"&amp;E35&amp;"))/"&amp;D2&amp;"-(@N10_8_"&amp;E35&amp;"))*(@rmax_"&amp;E35&amp;")**2"</f>
        <v>@dN10_8_mat == (0.040051737927826*((@N10_10_mat))/0.0391520886190606-(@N10_8_mat))*(@rmax_mat)**2</v>
      </c>
    </row>
    <row r="100" spans="1:1" x14ac:dyDescent="0.25">
      <c r="A100" s="4" t="str">
        <f>IF(G1=0,"","@dN10_7_"&amp;E35&amp;" == ("&amp;G2&amp;"*((@N10_10_"&amp;E35&amp;"))/"&amp;D2&amp;"-(@N10_7_"&amp;E35&amp;"))*(@rmax_"&amp;E35&amp;")**2")</f>
        <v>@dN10_7_mat == (0.0404742027869314*((@N10_10_mat))/0.0391520886190606-(@N10_7_mat))*(@rmax_mat)**2</v>
      </c>
    </row>
    <row r="101" spans="1:1" x14ac:dyDescent="0.25">
      <c r="A101" s="4" t="str">
        <f>IF(H1=0,"","@dN10_6_"&amp;E35&amp;" == ("&amp;H2&amp;"*((@N10_10_"&amp;E35&amp;"))/"&amp;D2&amp;"-(@N10_6_"&amp;E35&amp;"))*(@rmax_"&amp;E35&amp;")**2")</f>
        <v>@dN10_6_mat == (0.0409353629857376*((@N10_10_mat))/0.0391520886190606-(@N10_6_mat))*(@rmax_mat)**2</v>
      </c>
    </row>
    <row r="102" spans="1:1" s="30" customFormat="1" x14ac:dyDescent="0.25">
      <c r="A102" s="4" t="str">
        <f>IF(I1=0,"","@dN10_5_"&amp;E35&amp;" == ("&amp;I2&amp;"*((@N10_10_"&amp;E35&amp;"))/"&amp;D2&amp;"-(@N10_5_"&amp;E35&amp;"))*(@rmax_"&amp;E35&amp;")**2")</f>
        <v>@dN10_5_mat == (0.0417723075711383*((@N10_10_mat))/0.0391520886190606-(@N10_5_mat))*(@rmax_mat)**2</v>
      </c>
    </row>
    <row r="103" spans="1:1" s="30" customFormat="1" x14ac:dyDescent="0.25">
      <c r="A103" s="4" t="str">
        <f>IF(J1=0,"","@dN10_4_"&amp;E35&amp;" == ("&amp;J2&amp;"*((@N10_10_"&amp;E35&amp;"))/"&amp;D2&amp;"-(@N10_4_"&amp;E35&amp;"))*(@rmax_"&amp;E35&amp;")**2")</f>
        <v>@dN10_4_mat == (0.0421745214981684*((@N10_10_mat))/0.0391520886190606-(@N10_4_mat))*(@rmax_mat)**2</v>
      </c>
    </row>
    <row r="104" spans="1:1" s="30" customFormat="1" x14ac:dyDescent="0.25">
      <c r="A104" s="4" t="str">
        <f>IF(K1=0,"","@dN10_3_"&amp;E35&amp;" == ("&amp;K2&amp;"*((@N10_10_"&amp;E35&amp;"))/"&amp;D2&amp;"-(@N10_3_"&amp;E35&amp;"))*(@rmax_"&amp;E35&amp;")**2")</f>
        <v>@dN10_3_mat == (0.0431764620766379*((@N10_10_mat))/0.0391520886190606-(@N10_3_mat))*(@rmax_mat)**2</v>
      </c>
    </row>
    <row r="105" spans="1:1" s="30" customFormat="1" x14ac:dyDescent="0.25">
      <c r="A105" s="4" t="str">
        <f>IF(L1=0,"","@dN10_2_"&amp;E35&amp;" == ("&amp;L2&amp;"*((@N10_10_"&amp;E35&amp;"))/"&amp;D2&amp;"-(@N10_2_"&amp;E35&amp;"))*(@rmax_"&amp;E35&amp;")**2")</f>
        <v/>
      </c>
    </row>
    <row r="106" spans="1:1" s="30" customFormat="1" x14ac:dyDescent="0.25">
      <c r="A106" s="4" t="str">
        <f>IF(M1=0,"","@dN10_1_"&amp;E35&amp;" == ("&amp;M2&amp;"*((@N10_10_"&amp;E35&amp;"))/"&amp;D2&amp;"-(@N10_1_"&amp;E35&amp;"))*(@rmax_"&amp;E35&amp;")**2")</f>
        <v/>
      </c>
    </row>
    <row r="107" spans="1:1" x14ac:dyDescent="0.25">
      <c r="A107" s="4" t="str">
        <f>"@dN20_9_"&amp;E35&amp;" == ("&amp;E2&amp;"*((@N20_10_"&amp;E35&amp;"))/"&amp;D2&amp;"-(@N20_9_"&amp;E35&amp;"))*(@rmax_"&amp;E35&amp;")**4"</f>
        <v>@dN20_9_mat == (0.0396185887025728*((@N20_10_mat))/0.0391520886190606-(@N20_9_mat))*(@rmax_mat)**4</v>
      </c>
    </row>
    <row r="108" spans="1:1" x14ac:dyDescent="0.25">
      <c r="A108" s="4" t="str">
        <f>"@dN20_8_"&amp;E35&amp;" == ("&amp;F2&amp;"*((@N20_10_"&amp;E35&amp;"))/"&amp;D2&amp;"-(@N20_8_"&amp;E35&amp;"))*(@rmax_"&amp;E35&amp;")**4"</f>
        <v>@dN20_8_mat == (0.040051737927826*((@N20_10_mat))/0.0391520886190606-(@N20_8_mat))*(@rmax_mat)**4</v>
      </c>
    </row>
    <row r="109" spans="1:1" x14ac:dyDescent="0.25">
      <c r="A109" s="4" t="str">
        <f>IF(G1=0,"","@dN20_7_"&amp;E35&amp;" == ("&amp;G2&amp;"*((@N20_10_"&amp;E35&amp;"))/"&amp;D2&amp;"-(@N20_7_"&amp;E35&amp;"))*(@rmax_"&amp;E35&amp;")**4")</f>
        <v>@dN20_7_mat == (0.0404742027869314*((@N20_10_mat))/0.0391520886190606-(@N20_7_mat))*(@rmax_mat)**4</v>
      </c>
    </row>
    <row r="110" spans="1:1" x14ac:dyDescent="0.25">
      <c r="A110" s="4" t="str">
        <f>IF(H1=0,"","@dN20_6_"&amp;E35&amp;" == ("&amp;H2&amp;"*((@N20_10_"&amp;E35&amp;"))/"&amp;D2&amp;"-(@N20_6_"&amp;E35&amp;"))*(@rmax_"&amp;E35&amp;")**4")</f>
        <v>@dN20_6_mat == (0.0409353629857376*((@N20_10_mat))/0.0391520886190606-(@N20_6_mat))*(@rmax_mat)**4</v>
      </c>
    </row>
    <row r="111" spans="1:1" s="30" customFormat="1" x14ac:dyDescent="0.25">
      <c r="A111" s="4" t="str">
        <f>IF(I1=0,"","@dN20_5_"&amp;E35&amp;" == ("&amp;I2&amp;"*((@N20_10_"&amp;E35&amp;"))/"&amp;D2&amp;"-(@N20_5_"&amp;E35&amp;"))*(@rmax_"&amp;E35&amp;")**4")</f>
        <v>@dN20_5_mat == (0.0417723075711383*((@N20_10_mat))/0.0391520886190606-(@N20_5_mat))*(@rmax_mat)**4</v>
      </c>
    </row>
    <row r="112" spans="1:1" s="30" customFormat="1" x14ac:dyDescent="0.25">
      <c r="A112" s="4" t="str">
        <f>IF(J1=0,"","@dN20_4_"&amp;E35&amp;" == ("&amp;J2&amp;"*((@N20_10_"&amp;E35&amp;"))/"&amp;D2&amp;"-(@N20_4_"&amp;E35&amp;"))*(@rmax_"&amp;E35&amp;")**4")</f>
        <v>@dN20_4_mat == (0.0421745214981684*((@N20_10_mat))/0.0391520886190606-(@N20_4_mat))*(@rmax_mat)**4</v>
      </c>
    </row>
    <row r="113" spans="1:11" s="30" customFormat="1" x14ac:dyDescent="0.25">
      <c r="A113" s="4" t="str">
        <f>IF(K1=0,"","@dN20_3_"&amp;E35&amp;" == ("&amp;K2&amp;"*((@N20_10_"&amp;E35&amp;"))/"&amp;D2&amp;"-(@N20_3_"&amp;E35&amp;"))*(@rmax_"&amp;E35&amp;")**4")</f>
        <v>@dN20_3_mat == (0.0431764620766379*((@N20_10_mat))/0.0391520886190606-(@N20_3_mat))*(@rmax_mat)**4</v>
      </c>
    </row>
    <row r="114" spans="1:11" s="30" customFormat="1" x14ac:dyDescent="0.25">
      <c r="A114" s="4" t="str">
        <f>IF(L1=0,"","@dN20_2_"&amp;E35&amp;" == ("&amp;L2&amp;"*((@N20_10_"&amp;E35&amp;"))/"&amp;D2&amp;"-(@N20_2_"&amp;E35&amp;"))*(@rmax_"&amp;E35&amp;")**4")</f>
        <v/>
      </c>
    </row>
    <row r="115" spans="1:11" s="30" customFormat="1" x14ac:dyDescent="0.25">
      <c r="A115" s="4" t="str">
        <f>IF(M1=0,"","@dN20_1_"&amp;E35&amp;" == ("&amp;M2&amp;"*((@N20_10_"&amp;E35&amp;"))/"&amp;D2&amp;"-(@N20_1_"&amp;E35&amp;"))*(@rmax_"&amp;E35&amp;")**4")</f>
        <v/>
      </c>
    </row>
    <row r="116" spans="1:11" x14ac:dyDescent="0.25">
      <c r="A116" s="4" t="str">
        <f>"@dN30_9_"&amp;E35&amp;" == ("&amp;E2&amp;"*((@N30_10_"&amp;E35&amp;"))/"&amp;D2&amp;"-(@N30_9_"&amp;E35&amp;"))*(@rmax_"&amp;E35&amp;")**6"</f>
        <v>@dN30_9_mat == (0.0396185887025728*((@N30_10_mat))/0.0391520886190606-(@N30_9_mat))*(@rmax_mat)**6</v>
      </c>
    </row>
    <row r="117" spans="1:11" x14ac:dyDescent="0.25">
      <c r="A117" s="4" t="str">
        <f>"@dN30_8_"&amp;E35&amp;" == ("&amp;F2&amp;"*((@N30_10_"&amp;E35&amp;"))/"&amp;D2&amp;"-(@N30_8_"&amp;E35&amp;"))*(@rmax_"&amp;E35&amp;")**6"</f>
        <v>@dN30_8_mat == (0.040051737927826*((@N30_10_mat))/0.0391520886190606-(@N30_8_mat))*(@rmax_mat)**6</v>
      </c>
    </row>
    <row r="118" spans="1:11" x14ac:dyDescent="0.25">
      <c r="A118" s="4" t="str">
        <f>IF(G1=0,"","@dN30_7_"&amp;E35&amp;" == ("&amp;G2&amp;"*((@N30_10_"&amp;E35&amp;"))/"&amp;D2&amp;"-(@N30_7_"&amp;E35&amp;"))*(@rmax_"&amp;E35&amp;")**6")</f>
        <v>@dN30_7_mat == (0.0404742027869314*((@N30_10_mat))/0.0391520886190606-(@N30_7_mat))*(@rmax_mat)**6</v>
      </c>
    </row>
    <row r="119" spans="1:11" x14ac:dyDescent="0.25">
      <c r="A119" s="4" t="str">
        <f>IF(H1=0,"","@dN30_6_"&amp;E35&amp;" == ("&amp;H2&amp;"*((@N30_10_"&amp;E35&amp;"))/"&amp;D2&amp;"-(@N30_6_"&amp;E35&amp;"))*(@rmax_"&amp;E35&amp;")**6")</f>
        <v>@dN30_6_mat == (0.0409353629857376*((@N30_10_mat))/0.0391520886190606-(@N30_6_mat))*(@rmax_mat)**6</v>
      </c>
    </row>
    <row r="120" spans="1:11" s="30" customFormat="1" x14ac:dyDescent="0.25">
      <c r="A120" s="4" t="str">
        <f>IF(I1=0,"","@dN30_5_"&amp;E35&amp;" == ("&amp;I2&amp;"*((@N30_10_"&amp;E35&amp;"))/"&amp;D2&amp;"-(@N30_5_"&amp;E35&amp;"))*(@rmax_"&amp;E35&amp;")**6")</f>
        <v>@dN30_5_mat == (0.0417723075711383*((@N30_10_mat))/0.0391520886190606-(@N30_5_mat))*(@rmax_mat)**6</v>
      </c>
    </row>
    <row r="121" spans="1:11" s="30" customFormat="1" x14ac:dyDescent="0.25">
      <c r="A121" s="4" t="str">
        <f>IF(J1=0,"","@dN30_4_"&amp;E35&amp;" == ("&amp;J2&amp;"*((@N30_10_"&amp;E35&amp;"))/"&amp;D2&amp;"-(@N30_4_"&amp;E35&amp;"))*(@rmax_"&amp;E35&amp;")**6")</f>
        <v>@dN30_4_mat == (0.0421745214981684*((@N30_10_mat))/0.0391520886190606-(@N30_4_mat))*(@rmax_mat)**6</v>
      </c>
    </row>
    <row r="122" spans="1:11" s="30" customFormat="1" x14ac:dyDescent="0.25">
      <c r="A122" s="4" t="str">
        <f>IF(K1=0,"","@dN30_3_"&amp;E35&amp;" == ("&amp;K2&amp;"*((@N30_10_"&amp;E35&amp;"))/"&amp;D2&amp;"-(@N30_3_"&amp;E35&amp;"))*(@rmax_"&amp;E35&amp;")**6")</f>
        <v>@dN30_3_mat == (0.0431764620766379*((@N30_10_mat))/0.0391520886190606-(@N30_3_mat))*(@rmax_mat)**6</v>
      </c>
    </row>
    <row r="123" spans="1:11" s="30" customFormat="1" x14ac:dyDescent="0.25">
      <c r="A123" s="4" t="str">
        <f>IF(L1=0,"","@dN30_2_"&amp;E35&amp;" == ("&amp;L2&amp;"*((@N30_10_"&amp;E35&amp;"))/"&amp;D2&amp;"-(@N30_2_"&amp;E35&amp;"))*(@rmax_"&amp;E35&amp;")**6")</f>
        <v/>
      </c>
    </row>
    <row r="124" spans="1:11" s="30" customFormat="1" x14ac:dyDescent="0.25">
      <c r="A124" s="4" t="str">
        <f>IF(M1=0,"","@dN30_1_"&amp;E35&amp;" == ("&amp;M2&amp;"*((@N30_10_"&amp;E35&amp;"))/"&amp;D2&amp;"-(@N30_1_"&amp;E35&amp;"))*(@rmax_"&amp;E35&amp;")**6")</f>
        <v/>
      </c>
    </row>
    <row r="125" spans="1:11" x14ac:dyDescent="0.25">
      <c r="A125" s="4"/>
    </row>
    <row r="126" spans="1:11" x14ac:dyDescent="0.25">
      <c r="A126" s="4" t="str">
        <f>"! Constrain gradient coefficients"</f>
        <v>! Constrain gradient coefficients</v>
      </c>
    </row>
    <row r="127" spans="1:11" x14ac:dyDescent="0.25">
      <c r="A127" s="4" t="str">
        <f>IF(C16="yes","@dN0_9_"&amp;E35&amp;" = 0","")</f>
        <v>@dN0_9_mat = 0</v>
      </c>
    </row>
    <row r="128" spans="1:11" x14ac:dyDescent="0.25">
      <c r="A128" s="4" t="str">
        <f>IF(C16="yes","@dN0_8_"&amp;E35&amp;" = 0","")</f>
        <v>@dN0_8_mat = 0</v>
      </c>
      <c r="C128" s="4"/>
      <c r="D128" s="4"/>
      <c r="E128" s="4"/>
      <c r="F128" s="4"/>
      <c r="G128" s="4"/>
      <c r="H128" s="4"/>
      <c r="I128" s="4"/>
      <c r="J128" s="4"/>
      <c r="K128" s="4"/>
    </row>
    <row r="129" spans="1:11" x14ac:dyDescent="0.25">
      <c r="A129" s="4" t="str">
        <f>IF(C16="yes",IF(G1=0,"","@dN0_7_"&amp;E35&amp;" = 0"),"")</f>
        <v>@dN0_7_mat = 0</v>
      </c>
      <c r="C129" s="4"/>
      <c r="D129" s="4"/>
      <c r="E129" s="4"/>
      <c r="F129" s="4"/>
      <c r="G129" s="4"/>
      <c r="H129" s="4"/>
      <c r="I129" s="4"/>
      <c r="J129" s="4"/>
      <c r="K129" s="4"/>
    </row>
    <row r="130" spans="1:11" x14ac:dyDescent="0.25">
      <c r="A130" s="4" t="str">
        <f>IF(C16="yes",IF(H1=0,"","@dN0_6_"&amp;E35&amp;" = 0"),"")</f>
        <v>@dN0_6_mat = 0</v>
      </c>
      <c r="C130" s="4"/>
      <c r="D130" s="4"/>
      <c r="E130" s="4"/>
      <c r="F130" s="4"/>
      <c r="G130" s="4"/>
      <c r="H130" s="4"/>
      <c r="I130" s="4"/>
      <c r="J130" s="4"/>
      <c r="K130" s="4"/>
    </row>
    <row r="131" spans="1:11" s="30" customFormat="1" x14ac:dyDescent="0.25">
      <c r="A131" s="4" t="str">
        <f>IF(C16="yes",IF(I1=0,"","@dN0_5_"&amp;E35&amp;" = 0"),"")</f>
        <v>@dN0_5_mat = 0</v>
      </c>
      <c r="C131" s="4"/>
      <c r="D131" s="4"/>
      <c r="E131" s="4"/>
      <c r="F131" s="4"/>
      <c r="G131" s="4"/>
      <c r="H131" s="4"/>
      <c r="I131" s="4"/>
      <c r="J131" s="4"/>
      <c r="K131" s="4"/>
    </row>
    <row r="132" spans="1:11" s="30" customFormat="1" x14ac:dyDescent="0.25">
      <c r="A132" s="4" t="str">
        <f>IF(C16="yes",IF(J1=0,"","@dN0_4_"&amp;E35&amp;" = 0"),"")</f>
        <v>@dN0_4_mat = 0</v>
      </c>
      <c r="C132" s="4"/>
      <c r="D132" s="4"/>
      <c r="E132" s="4"/>
      <c r="F132" s="4"/>
      <c r="G132" s="4"/>
      <c r="H132" s="4"/>
      <c r="I132" s="4"/>
      <c r="J132" s="4"/>
      <c r="K132" s="4"/>
    </row>
    <row r="133" spans="1:11" s="30" customFormat="1" x14ac:dyDescent="0.25">
      <c r="A133" s="4" t="str">
        <f>IF(C16="yes",IF(K1=0,"","@dN0_3_"&amp;E35&amp;" = 0"),"")</f>
        <v>@dN0_3_mat = 0</v>
      </c>
      <c r="C133" s="4"/>
      <c r="D133" s="4"/>
      <c r="E133" s="4"/>
      <c r="F133" s="4"/>
      <c r="G133" s="4"/>
      <c r="H133" s="4"/>
      <c r="I133" s="4"/>
      <c r="J133" s="4"/>
      <c r="K133" s="4"/>
    </row>
    <row r="134" spans="1:11" s="30" customFormat="1" x14ac:dyDescent="0.25">
      <c r="A134" s="4" t="str">
        <f>IF(C16="yes",IF(L1=0,"","@dN0_2_"&amp;E35&amp;" = 0"),"")</f>
        <v/>
      </c>
      <c r="C134" s="4"/>
      <c r="D134" s="4"/>
      <c r="E134" s="4"/>
      <c r="F134" s="4"/>
      <c r="G134" s="4"/>
      <c r="H134" s="4"/>
      <c r="I134" s="4"/>
      <c r="J134" s="4"/>
      <c r="K134" s="4"/>
    </row>
    <row r="135" spans="1:11" s="30" customFormat="1" x14ac:dyDescent="0.25">
      <c r="A135" s="4" t="str">
        <f>IF(C16="yes",IF(M1=0,"","@dN0_1_"&amp;E35&amp;" = 0"),"")</f>
        <v/>
      </c>
      <c r="C135" s="4"/>
      <c r="D135" s="4"/>
      <c r="E135" s="4"/>
      <c r="F135" s="4"/>
      <c r="G135" s="4"/>
      <c r="H135" s="4"/>
      <c r="I135" s="4"/>
      <c r="J135" s="4"/>
      <c r="K135" s="4"/>
    </row>
    <row r="136" spans="1:11" x14ac:dyDescent="0.25">
      <c r="A136" s="4" t="str">
        <f>IF(C17="yes","@dN10_9_"&amp;E35&amp;" = 0;","")</f>
        <v>@dN10_9_mat = 0;</v>
      </c>
      <c r="C136" s="4"/>
      <c r="D136" s="4"/>
      <c r="E136" s="4"/>
      <c r="F136" s="4"/>
      <c r="G136" s="4"/>
      <c r="H136" s="4"/>
      <c r="I136" s="4"/>
      <c r="J136" s="4"/>
      <c r="K136" s="4"/>
    </row>
    <row r="137" spans="1:11" x14ac:dyDescent="0.25">
      <c r="A137" s="4" t="str">
        <f>IF(C17="yes","@dN10_8_"&amp;E35&amp;" = 0;","")</f>
        <v>@dN10_8_mat = 0;</v>
      </c>
    </row>
    <row r="138" spans="1:11" x14ac:dyDescent="0.25">
      <c r="A138" s="4" t="str">
        <f>IF(C17="yes",IF(G1=0,"","@dN10_7_"&amp;E35&amp;" = 0;"),"")</f>
        <v>@dN10_7_mat = 0;</v>
      </c>
    </row>
    <row r="139" spans="1:11" x14ac:dyDescent="0.25">
      <c r="A139" s="4" t="str">
        <f>IF(C17="yes",IF(H1=0,"","@dN10_6_"&amp;E35&amp;" = 0;"),"")</f>
        <v>@dN10_6_mat = 0;</v>
      </c>
    </row>
    <row r="140" spans="1:11" s="30" customFormat="1" x14ac:dyDescent="0.25">
      <c r="A140" s="4" t="str">
        <f>IF(C17="yes",IF(I1=0,"","@dN10_5_"&amp;E35&amp;" = 0;"),"")</f>
        <v>@dN10_5_mat = 0;</v>
      </c>
    </row>
    <row r="141" spans="1:11" s="30" customFormat="1" x14ac:dyDescent="0.25">
      <c r="A141" s="4" t="str">
        <f>IF(C17="yes",IF(J1=0,"","@dN10_4_"&amp;E35&amp;" = 0;"),"")</f>
        <v>@dN10_4_mat = 0;</v>
      </c>
    </row>
    <row r="142" spans="1:11" s="30" customFormat="1" x14ac:dyDescent="0.25">
      <c r="A142" s="4" t="str">
        <f>IF(C17="yes",IF(K1=0,"","@dN10_3_"&amp;E35&amp;" = 0;"),"")</f>
        <v>@dN10_3_mat = 0;</v>
      </c>
    </row>
    <row r="143" spans="1:11" s="30" customFormat="1" x14ac:dyDescent="0.25">
      <c r="A143" s="4" t="str">
        <f>IF(C17="yes",IF(L1=0,"","@dN10_2_"&amp;E35&amp;" = 0;"),"")</f>
        <v/>
      </c>
    </row>
    <row r="144" spans="1:11" s="30" customFormat="1" x14ac:dyDescent="0.25">
      <c r="A144" s="4" t="str">
        <f>IF(C17="yes",IF(M1=0,"","@dN10_1_"&amp;E35&amp;" = 0;"),"")</f>
        <v/>
      </c>
    </row>
    <row r="145" spans="1:1" x14ac:dyDescent="0.25">
      <c r="A145" s="4" t="str">
        <f>IF(C18="yes","@dN20_9_"&amp;E35&amp;" = 0;","")</f>
        <v>@dN20_9_mat = 0;</v>
      </c>
    </row>
    <row r="146" spans="1:1" x14ac:dyDescent="0.25">
      <c r="A146" s="4" t="str">
        <f>IF(C18="yes","@dN20_8_"&amp;E35&amp;" = 0;","")</f>
        <v>@dN20_8_mat = 0;</v>
      </c>
    </row>
    <row r="147" spans="1:1" x14ac:dyDescent="0.25">
      <c r="A147" s="4" t="str">
        <f>IF(C18="yes",IF(G1=0,"","@dN20_7_"&amp;E35&amp;" = 0;"),"")</f>
        <v>@dN20_7_mat = 0;</v>
      </c>
    </row>
    <row r="148" spans="1:1" x14ac:dyDescent="0.25">
      <c r="A148" s="4" t="str">
        <f>IF(C18="yes",IF(H1=0,"","@dN20_6_"&amp;E35&amp;" = 0;"),"")</f>
        <v>@dN20_6_mat = 0;</v>
      </c>
    </row>
    <row r="149" spans="1:1" s="30" customFormat="1" x14ac:dyDescent="0.25">
      <c r="A149" s="4" t="str">
        <f>IF(C18="yes",IF(I1=0,"","@dN20_5_"&amp;E35&amp;" = 0;"),"")</f>
        <v>@dN20_5_mat = 0;</v>
      </c>
    </row>
    <row r="150" spans="1:1" s="30" customFormat="1" x14ac:dyDescent="0.25">
      <c r="A150" s="4" t="str">
        <f>IF(C18="yes",IF(J1=0,"","@dN20_4_"&amp;E35&amp;" = 0;"),"")</f>
        <v>@dN20_4_mat = 0;</v>
      </c>
    </row>
    <row r="151" spans="1:1" s="30" customFormat="1" x14ac:dyDescent="0.25">
      <c r="A151" s="4" t="str">
        <f>IF(C18="yes",IF(K1=0,"","@dN20_3_"&amp;E35&amp;" = 0;"),"")</f>
        <v>@dN20_3_mat = 0;</v>
      </c>
    </row>
    <row r="152" spans="1:1" s="30" customFormat="1" x14ac:dyDescent="0.25">
      <c r="A152" s="4" t="str">
        <f>IF(C18="yes",IF(L1=0,"","@dN20_2_"&amp;E35&amp;" = 0;"),"")</f>
        <v/>
      </c>
    </row>
    <row r="153" spans="1:1" s="30" customFormat="1" x14ac:dyDescent="0.25">
      <c r="A153" s="4" t="str">
        <f>IF(C18="yes",IF(M1=0,"","@dN20_1_"&amp;E35&amp;" = 0;"),"")</f>
        <v/>
      </c>
    </row>
    <row r="154" spans="1:1" x14ac:dyDescent="0.25">
      <c r="A154" s="4" t="str">
        <f>IF(C19="yes","@dN30_9_"&amp;E35&amp;" = 0;","")</f>
        <v/>
      </c>
    </row>
    <row r="155" spans="1:1" x14ac:dyDescent="0.25">
      <c r="A155" s="4" t="str">
        <f>IF(C19="yes","@dN30_8_"&amp;E35&amp;" = 0;","")</f>
        <v/>
      </c>
    </row>
    <row r="156" spans="1:1" x14ac:dyDescent="0.25">
      <c r="A156" s="4" t="str">
        <f>IF(C19="yes",IF(G1=0,"","@dN30_7_"&amp;E35&amp;" = 0;"),"")</f>
        <v/>
      </c>
    </row>
    <row r="157" spans="1:1" x14ac:dyDescent="0.25">
      <c r="A157" s="4" t="str">
        <f>IF(C19="yes",IF(H1=0,"","@dN30_6_"&amp;E35&amp;" = 0;"),"")</f>
        <v/>
      </c>
    </row>
    <row r="158" spans="1:1" s="30" customFormat="1" x14ac:dyDescent="0.25">
      <c r="A158" s="4" t="str">
        <f>IF(C19="yes",IF(I1=0,"","@dN30_5_"&amp;E35&amp;" = 0;"),"")</f>
        <v/>
      </c>
    </row>
    <row r="159" spans="1:1" s="30" customFormat="1" x14ac:dyDescent="0.25">
      <c r="A159" s="4" t="str">
        <f>IF(C19="yes",IF(J1=0,"","@dN30_4_"&amp;E35&amp;" = 0;"),"")</f>
        <v/>
      </c>
    </row>
    <row r="160" spans="1:1" s="30" customFormat="1" x14ac:dyDescent="0.25">
      <c r="A160" s="4" t="str">
        <f>IF(C19="yes",IF(K1=0,"","@dN30_3_"&amp;E35&amp;" = 0;"),"")</f>
        <v/>
      </c>
    </row>
    <row r="161" spans="1:1" s="30" customFormat="1" x14ac:dyDescent="0.25">
      <c r="A161" s="4" t="str">
        <f>IF(C19="yes",IF(L1=0,"","@dN30_2_"&amp;E35&amp;" = 0;"),"")</f>
        <v/>
      </c>
    </row>
    <row r="162" spans="1:1" s="30" customFormat="1" x14ac:dyDescent="0.25">
      <c r="A162" s="4" t="str">
        <f>IF(C19="yes",IF(M1=0,"","@dN30_1_"&amp;E35&amp;" = 0;"),"")</f>
        <v/>
      </c>
    </row>
    <row r="163" spans="1:1" x14ac:dyDescent="0.25">
      <c r="A163" s="4"/>
    </row>
    <row r="164" spans="1:1" s="30" customFormat="1" x14ac:dyDescent="0.25">
      <c r="A164" s="4" t="str">
        <f>"! Define maximum and minimum index and concentration from index profile at longest wavelength"</f>
        <v>! Define maximum and minimum index and concentration from index profile at longest wavelength</v>
      </c>
    </row>
    <row r="165" spans="1:1" s="30" customFormat="1" x14ac:dyDescent="0.25">
      <c r="A165" s="4" t="str">
        <f>"@nmax_"&amp;E35&amp;" == MAXF(@index_ur((SLB s'grin"&amp;E35&amp;"'),1,1,1,0,0*@rmax_"&amp;E35&amp;",(CT s'grin"&amp;E35&amp;"')/2),MAXF(@index_ur((SLB s'grin"&amp;E35&amp;"'),1,1,1,0,.1*@rmax_"&amp;E35&amp;",(CT s'grin"&amp;E35&amp;"')/2),MAXF(@index_ur((SLB s'grin"&amp;E35&amp;"'),1,1,1,0,.2*@rmax_"&amp;E35&amp;",(CT s'grin"&amp;E35&amp;"')/2),MAXF(@index_ur((SLB s'grin"&amp;E35&amp;"'),1,1,1,0,.3*@rmax_"&amp;E35&amp;",(CT s'grin"&amp;E35&amp;"')/2),MAXF(@index_ur((SLB s'grin"&amp;E35&amp;"'),1,1,1,0,.4*@rmax_"&amp;E35&amp;",(CT s'grin"&amp;E35&amp;"')/2),MAXF(@index_ur((SLB s'grin"&amp;E35&amp;"'),1,1,1,0,.5*@rmax_"&amp;E35&amp;",(CT s'grin"&amp;E35&amp;"')/2),MAXF(@index_ur((SLB s'grin"&amp;E35&amp;"'),1,1,1,0,.6*@rmax_"&amp;E35&amp;",(CT s'grin"&amp;E35&amp;"')/2),MAXF(@index_ur((SLB s'grin"&amp;E35&amp;"'),1,1,1,0,.7*@rmax_"&amp;E35&amp;",(CT s'grin"&amp;E35&amp;"')/2),MAXF(@index_ur((SLB s'grin"&amp;E35&amp;"'),1,1,1,0,.8*@rmax_"&amp;E35&amp;",(CT s'grin"&amp;E35&amp;"')/2),MAXF(@index_ur((SLB s'grin"&amp;E35&amp;"'),1,1,1,0,.9*@rmax_"&amp;E35&amp;",(CT s'grin"&amp;E35&amp;"')/2),@index_ur((SLB s'grin"&amp;E35&amp;"'),1,1,1,0,@rmax_"&amp;E35&amp;",(CT s'grin"&amp;E35&amp;"')/2)))))))))))"</f>
        <v>@nmax_mat == MAXF(@index_ur((SLB s'grinmat'),1,1,1,0,0*@rmax_mat,(CT s'grinmat')/2),MAXF(@index_ur((SLB s'grinmat'),1,1,1,0,.1*@rmax_mat,(CT s'grinmat')/2),MAXF(@index_ur((SLB s'grinmat'),1,1,1,0,.2*@rmax_mat,(CT s'grinmat')/2),MAXF(@index_ur((SLB s'grinmat'),1,1,1,0,.3*@rmax_mat,(CT s'grinmat')/2),MAXF(@index_ur((SLB s'grinmat'),1,1,1,0,.4*@rmax_mat,(CT s'grinmat')/2),MAXF(@index_ur((SLB s'grinmat'),1,1,1,0,.5*@rmax_mat,(CT s'grinmat')/2),MAXF(@index_ur((SLB s'grinmat'),1,1,1,0,.6*@rmax_mat,(CT s'grinmat')/2),MAXF(@index_ur((SLB s'grinmat'),1,1,1,0,.7*@rmax_mat,(CT s'grinmat')/2),MAXF(@index_ur((SLB s'grinmat'),1,1,1,0,.8*@rmax_mat,(CT s'grinmat')/2),MAXF(@index_ur((SLB s'grinmat'),1,1,1,0,.9*@rmax_mat,(CT s'grinmat')/2),@index_ur((SLB s'grinmat'),1,1,1,0,@rmax_mat,(CT s'grinmat')/2)))))))))))</v>
      </c>
    </row>
    <row r="166" spans="1:1" s="30" customFormat="1" x14ac:dyDescent="0.25">
      <c r="A166" s="4" t="str">
        <f>"@nmin_"&amp;E35&amp;" == MINF(@index_ur((SLB s'grin"&amp;E35&amp;"'),1,1,1,0,0*@rmax_"&amp;E35&amp;",(CT s'grin"&amp;E35&amp;"')/2),MINF(@index_ur((SLB s'grin"&amp;E35&amp;"'),1,1,1,0,.1*@rmax_"&amp;E35&amp;",(CT s'grin"&amp;E35&amp;"')/2),MINF(@index_ur((SLB s'grin"&amp;E35&amp;"'),1,1,1,0,.2*@rmax_"&amp;E35&amp;",(CT s'grin"&amp;E35&amp;"')/2),MINF(@index_ur((SLB s'grin"&amp;E35&amp;"'),1,1,1,0,.3*@rmax_"&amp;E35&amp;",(CT s'grin"&amp;E35&amp;"')/2),MINF(@index_ur((SLB s'grin"&amp;E35&amp;"'),1,1,1,0,.4*@rmax_"&amp;E35&amp;",(CT s'grin"&amp;E35&amp;"')/2),MINF(@index_ur((SLB s'grin"&amp;E35&amp;"'),1,1,1,0,.5*@rmax_"&amp;E35&amp;",(CT s'grin"&amp;E35&amp;"')/2),MINF(@index_ur((SLB s'grin"&amp;E35&amp;"'),1,1,1,0,.6*@rmax_"&amp;E35&amp;",(CT s'grin"&amp;E35&amp;"')/2),MINF(@index_ur((SLB s'grin"&amp;E35&amp;"'),1,1,1,0,.7*@rmax_"&amp;E35&amp;",(CT s'grin"&amp;E35&amp;"')/2),MINF(@index_ur((SLB s'grin"&amp;E35&amp;"'),1,1,1,0,.8*@rmax_"&amp;E35&amp;",(CT s'grin"&amp;E35&amp;"')/2),MINF(@index_ur((SLB s'grin"&amp;E35&amp;"'),1,1,1,0,.9*@rmax_"&amp;E35&amp;",(CT s'grin"&amp;E35&amp;"')/2),@index_ur((SLB s'grin"&amp;E35&amp;"'),1,1,1,0,@rmax_"&amp;E35&amp;",(CT s'grin"&amp;E35&amp;"')/2)))))))))))"</f>
        <v>@nmin_mat == MINF(@index_ur((SLB s'grinmat'),1,1,1,0,0*@rmax_mat,(CT s'grinmat')/2),MINF(@index_ur((SLB s'grinmat'),1,1,1,0,.1*@rmax_mat,(CT s'grinmat')/2),MINF(@index_ur((SLB s'grinmat'),1,1,1,0,.2*@rmax_mat,(CT s'grinmat')/2),MINF(@index_ur((SLB s'grinmat'),1,1,1,0,.3*@rmax_mat,(CT s'grinmat')/2),MINF(@index_ur((SLB s'grinmat'),1,1,1,0,.4*@rmax_mat,(CT s'grinmat')/2),MINF(@index_ur((SLB s'grinmat'),1,1,1,0,.5*@rmax_mat,(CT s'grinmat')/2),MINF(@index_ur((SLB s'grinmat'),1,1,1,0,.6*@rmax_mat,(CT s'grinmat')/2),MINF(@index_ur((SLB s'grinmat'),1,1,1,0,.7*@rmax_mat,(CT s'grinmat')/2),MINF(@index_ur((SLB s'grinmat'),1,1,1,0,.8*@rmax_mat,(CT s'grinmat')/2),MINF(@index_ur((SLB s'grinmat'),1,1,1,0,.9*@rmax_mat,(CT s'grinmat')/2),@index_ur((SLB s'grinmat'),1,1,1,0,@rmax_mat,(CT s'grinmat')/2)))))))))))</v>
      </c>
    </row>
    <row r="167" spans="1:1" x14ac:dyDescent="0.25">
      <c r="A167" s="4" t="str">
        <f>"@concmin_"&amp;E35&amp;" == ((@nmin_"&amp;E35&amp;")+"&amp;(-D3)&amp;")/"&amp;D2</f>
        <v>@concmin_mat == ((@nmin_mat)+-1.5605923706699)/0.0391520886190606</v>
      </c>
    </row>
    <row r="168" spans="1:1" x14ac:dyDescent="0.25">
      <c r="A168" s="4" t="str">
        <f>"@concmax_"&amp;E35&amp;" == ((@nmax_"&amp;E35&amp;")+"&amp;(-D3)&amp;")/"&amp;D2</f>
        <v>@concmax_mat == ((@nmax_mat)+-1.5605923706699)/0.0391520886190606</v>
      </c>
    </row>
    <row r="169" spans="1:1" x14ac:dyDescent="0.25">
      <c r="A169" s="4"/>
    </row>
    <row r="170" spans="1:1" x14ac:dyDescent="0.25">
      <c r="A170" s="4" t="str">
        <f>"! Constrain concentration to be within material bounds"</f>
        <v>! Constrain concentration to be within material bounds</v>
      </c>
    </row>
    <row r="171" spans="1:1" x14ac:dyDescent="0.25">
      <c r="A171" s="4" t="str">
        <f>"@concmin_"&amp;E35&amp;" &gt; "&amp;C32&amp;" &lt; "&amp;C33</f>
        <v>@concmin_mat &gt; 0 &lt; 1</v>
      </c>
    </row>
    <row r="172" spans="1:1" x14ac:dyDescent="0.25">
      <c r="A172" s="4" t="str">
        <f>"@concmax_"&amp;E35&amp;" &gt; "&amp;C32&amp;" &lt; "&amp;C33</f>
        <v>@concmax_mat &gt; 0 &lt; 1</v>
      </c>
    </row>
    <row r="173" spans="1:1" x14ac:dyDescent="0.25">
      <c r="A173" s="4" t="str">
        <f>"! END CONSTRAINTS FOR RADIAL GRADIENT ON ELEMENT grin"&amp;E35</f>
        <v>! END CONSTRAINTS FOR RADIAL GRADIENT ON ELEMENT grinmat</v>
      </c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91" spans="1:1" x14ac:dyDescent="0.25">
      <c r="A191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5"/>
  <sheetViews>
    <sheetView topLeftCell="A9" workbookViewId="0">
      <selection activeCell="D20" sqref="D20"/>
    </sheetView>
  </sheetViews>
  <sheetFormatPr defaultRowHeight="15" x14ac:dyDescent="0.25"/>
  <cols>
    <col min="1" max="1" width="20.7109375" customWidth="1"/>
    <col min="3" max="3" width="16.5703125" bestFit="1" customWidth="1"/>
    <col min="4" max="4" width="12.42578125" customWidth="1"/>
    <col min="5" max="5" width="12.85546875" customWidth="1"/>
    <col min="6" max="6" width="12.7109375" customWidth="1"/>
    <col min="7" max="10" width="12" bestFit="1" customWidth="1"/>
    <col min="11" max="11" width="10.5703125" bestFit="1" customWidth="1"/>
    <col min="12" max="13" width="12" bestFit="1" customWidth="1"/>
    <col min="16" max="16" width="10.28515625" bestFit="1" customWidth="1"/>
    <col min="22" max="22" width="13.7109375" bestFit="1" customWidth="1"/>
  </cols>
  <sheetData>
    <row r="1" spans="1:28" ht="15.75" thickBot="1" x14ac:dyDescent="0.3">
      <c r="A1" s="30" t="s">
        <v>28</v>
      </c>
      <c r="B1" s="30"/>
      <c r="C1" s="30" t="s">
        <v>29</v>
      </c>
      <c r="D1" s="36">
        <v>0.65600000000000003</v>
      </c>
      <c r="E1" s="37">
        <v>0.58699999999999997</v>
      </c>
      <c r="F1" s="37">
        <v>0.48599999999999999</v>
      </c>
      <c r="G1" s="37">
        <v>0</v>
      </c>
      <c r="H1" s="37">
        <v>0</v>
      </c>
      <c r="I1" s="37">
        <v>0</v>
      </c>
      <c r="J1" s="37">
        <v>0</v>
      </c>
      <c r="K1" s="37">
        <v>0</v>
      </c>
      <c r="L1" s="37">
        <v>0</v>
      </c>
      <c r="M1" s="38">
        <v>0</v>
      </c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</row>
    <row r="2" spans="1:28" x14ac:dyDescent="0.25">
      <c r="A2" s="30" t="s">
        <v>95</v>
      </c>
      <c r="B2" s="30"/>
      <c r="C2" s="30" t="s">
        <v>78</v>
      </c>
      <c r="D2" s="34">
        <f t="shared" ref="D2:M2" si="0" xml:space="preserve"> IF(D1=0,1,SQRT( 2.610025 + -0.06143673*D1^2 + -0.1312267*D1^(-2) + 0.06865432*D1^(-4) + -0.01295968*D1^(-6) + 0.0009055861*D1^(-8) )-SQRT(2.399964 + -0.08308636*D1^2 + -0.1919569*D1^(-2) + 0.08720608*D1^(-4) + -0.01666411*D1^(-6) + 0.001169519*D1^(-8) ))</f>
        <v>9.7326688931033134E-2</v>
      </c>
      <c r="E2" s="34">
        <f t="shared" si="0"/>
        <v>0.10033188061734499</v>
      </c>
      <c r="F2" s="34">
        <f t="shared" si="0"/>
        <v>0.10831132388745046</v>
      </c>
      <c r="G2" s="34">
        <f t="shared" si="0"/>
        <v>1</v>
      </c>
      <c r="H2" s="34">
        <f t="shared" si="0"/>
        <v>1</v>
      </c>
      <c r="I2" s="34">
        <f t="shared" si="0"/>
        <v>1</v>
      </c>
      <c r="J2" s="34">
        <f t="shared" si="0"/>
        <v>1</v>
      </c>
      <c r="K2" s="34">
        <f t="shared" si="0"/>
        <v>1</v>
      </c>
      <c r="L2" s="34">
        <f t="shared" si="0"/>
        <v>1</v>
      </c>
      <c r="M2" s="34">
        <f t="shared" si="0"/>
        <v>1</v>
      </c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11"/>
    </row>
    <row r="3" spans="1:28" x14ac:dyDescent="0.25">
      <c r="A3" s="12"/>
      <c r="B3" s="12"/>
      <c r="C3" s="3" t="s">
        <v>76</v>
      </c>
      <c r="D3" s="57">
        <f t="shared" ref="D3:M3" si="1" xml:space="preserve"> IF(D1=0,1,SQRT(2.399964 + -0.08308636*D1^2 + -0.1919569*D1^(-2) + 0.08720608*D1^(-4) + -0.01666411*D1^(-6) + 0.001169519*D1^(-8) ))</f>
        <v>1.4879678621532011</v>
      </c>
      <c r="E3" s="57">
        <f t="shared" si="1"/>
        <v>1.4914343222339215</v>
      </c>
      <c r="F3" s="57">
        <f t="shared" si="1"/>
        <v>1.4973055842845553</v>
      </c>
      <c r="G3" s="57">
        <f t="shared" si="1"/>
        <v>1</v>
      </c>
      <c r="H3" s="57">
        <f t="shared" si="1"/>
        <v>1</v>
      </c>
      <c r="I3" s="57">
        <f t="shared" si="1"/>
        <v>1</v>
      </c>
      <c r="J3" s="57">
        <f t="shared" si="1"/>
        <v>1</v>
      </c>
      <c r="K3" s="57">
        <f t="shared" si="1"/>
        <v>1</v>
      </c>
      <c r="L3" s="57">
        <f t="shared" si="1"/>
        <v>1</v>
      </c>
      <c r="M3" s="57">
        <f t="shared" si="1"/>
        <v>1</v>
      </c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26"/>
    </row>
    <row r="4" spans="1:28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26"/>
    </row>
    <row r="5" spans="1:28" x14ac:dyDescent="0.25">
      <c r="A5" s="1" t="s">
        <v>22</v>
      </c>
      <c r="B5" s="30"/>
      <c r="C5" s="15"/>
      <c r="D5" s="30" t="s">
        <v>18</v>
      </c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26"/>
    </row>
    <row r="6" spans="1:28" ht="15.75" thickBot="1" x14ac:dyDescent="0.3">
      <c r="A6" s="30"/>
      <c r="B6" s="30"/>
      <c r="C6" s="28" t="s">
        <v>49</v>
      </c>
      <c r="D6" s="29" t="str">
        <f>D1&amp;" um"</f>
        <v>0.656 um</v>
      </c>
      <c r="E6" s="29" t="str">
        <f t="shared" ref="E6:M6" si="2">E1&amp;" um"</f>
        <v>0.587 um</v>
      </c>
      <c r="F6" s="29" t="str">
        <f t="shared" si="2"/>
        <v>0.486 um</v>
      </c>
      <c r="G6" s="29" t="str">
        <f t="shared" si="2"/>
        <v>0 um</v>
      </c>
      <c r="H6" s="29" t="str">
        <f t="shared" si="2"/>
        <v>0 um</v>
      </c>
      <c r="I6" s="29" t="str">
        <f t="shared" si="2"/>
        <v>0 um</v>
      </c>
      <c r="J6" s="29" t="str">
        <f t="shared" si="2"/>
        <v>0 um</v>
      </c>
      <c r="K6" s="29" t="str">
        <f t="shared" si="2"/>
        <v>0 um</v>
      </c>
      <c r="L6" s="29" t="str">
        <f t="shared" si="2"/>
        <v>0 um</v>
      </c>
      <c r="M6" s="29" t="str">
        <f t="shared" si="2"/>
        <v>0 um</v>
      </c>
      <c r="N6" s="30"/>
      <c r="O6" s="30"/>
      <c r="P6" s="30"/>
      <c r="Q6" s="30"/>
      <c r="R6" s="30"/>
      <c r="S6" s="30"/>
      <c r="T6" s="30"/>
      <c r="U6" s="30" t="s">
        <v>56</v>
      </c>
      <c r="V6" s="30" t="s">
        <v>49</v>
      </c>
      <c r="W6" s="30"/>
      <c r="X6" s="30"/>
      <c r="Y6" s="30"/>
      <c r="Z6" s="30"/>
      <c r="AA6" s="30"/>
      <c r="AB6" s="26"/>
    </row>
    <row r="7" spans="1:28" ht="15.75" thickBot="1" x14ac:dyDescent="0.3">
      <c r="A7" s="30" t="s">
        <v>59</v>
      </c>
      <c r="B7" s="30"/>
      <c r="C7" s="20">
        <v>0</v>
      </c>
      <c r="D7" s="67">
        <f>D$2*$C7+D$3</f>
        <v>1.4879678621532011</v>
      </c>
      <c r="E7" s="67">
        <f>E$2*$C7+E$3</f>
        <v>1.4914343222339215</v>
      </c>
      <c r="F7" s="67">
        <f>F$2*$C7+F$3</f>
        <v>1.4973055842845553</v>
      </c>
      <c r="G7" s="67">
        <f>G$2*$C7+G$3</f>
        <v>1</v>
      </c>
      <c r="H7" s="67">
        <f>H$2*$C7+H$3</f>
        <v>1</v>
      </c>
      <c r="I7" s="67">
        <f t="shared" ref="I7:M9" si="3">I$2*$C7+I$3</f>
        <v>1</v>
      </c>
      <c r="J7" s="67">
        <f t="shared" si="3"/>
        <v>1</v>
      </c>
      <c r="K7" s="67">
        <f t="shared" si="3"/>
        <v>1</v>
      </c>
      <c r="L7" s="67">
        <f t="shared" si="3"/>
        <v>1</v>
      </c>
      <c r="M7" s="67">
        <f t="shared" si="3"/>
        <v>1</v>
      </c>
      <c r="N7" s="30"/>
      <c r="O7" s="30"/>
      <c r="P7" s="30"/>
      <c r="Q7" s="30"/>
      <c r="R7" s="30"/>
      <c r="S7" s="30"/>
      <c r="T7" s="30"/>
      <c r="U7" s="30">
        <f>0*$B$24/51</f>
        <v>0</v>
      </c>
      <c r="V7" s="11">
        <f>$P$16+$P$17*ABS(U7-$D$22)+$P$18*ABS(U7-$D$22)^2+$P$19*ABS(U7-$D$22)^3+$P$20*ABS(U7-$D$22)^4</f>
        <v>0.41098695989077039</v>
      </c>
      <c r="W7" s="30"/>
      <c r="X7" s="30"/>
      <c r="Y7" s="30"/>
      <c r="Z7" s="30"/>
      <c r="AA7" s="30"/>
      <c r="AB7" s="26"/>
    </row>
    <row r="8" spans="1:28" x14ac:dyDescent="0.25">
      <c r="A8" s="30" t="s">
        <v>19</v>
      </c>
      <c r="B8" s="30"/>
      <c r="C8" s="45">
        <f>MAX(V7:V58)</f>
        <v>0.41098695989077039</v>
      </c>
      <c r="D8" s="67">
        <f>D$2*$C8+D$3</f>
        <v>1.5279678621532011</v>
      </c>
      <c r="E8" s="67">
        <f t="shared" ref="E8:H9" si="4">E$2*$C8+E$3</f>
        <v>1.5326694168289678</v>
      </c>
      <c r="F8" s="67">
        <f t="shared" si="4"/>
        <v>1.5418201260108031</v>
      </c>
      <c r="G8" s="67">
        <f t="shared" si="4"/>
        <v>1.4109869598907703</v>
      </c>
      <c r="H8" s="67">
        <f t="shared" si="4"/>
        <v>1.4109869598907703</v>
      </c>
      <c r="I8" s="67">
        <f t="shared" si="3"/>
        <v>1.4109869598907703</v>
      </c>
      <c r="J8" s="67">
        <f t="shared" si="3"/>
        <v>1.4109869598907703</v>
      </c>
      <c r="K8" s="67">
        <f>K$2*$C8+K$3</f>
        <v>1.4109869598907703</v>
      </c>
      <c r="L8" s="67">
        <f t="shared" si="3"/>
        <v>1.4109869598907703</v>
      </c>
      <c r="M8" s="67">
        <f t="shared" si="3"/>
        <v>1.4109869598907703</v>
      </c>
      <c r="N8" s="30"/>
      <c r="O8" s="30"/>
      <c r="P8" s="46"/>
      <c r="Q8" s="30"/>
      <c r="R8" s="30"/>
      <c r="S8" s="30"/>
      <c r="T8" s="30"/>
      <c r="U8" s="30">
        <f>1*$B$24/51</f>
        <v>0.13725490196078433</v>
      </c>
      <c r="V8" s="11">
        <f t="shared" ref="V8:V58" si="5">$P$16+$P$17*ABS(U8-$D$22)+$P$18*ABS(U8-$D$22)^2+$P$19*ABS(U8-$D$22)^3+$P$20*ABS(U8-$D$22)^4</f>
        <v>0.40816646114642197</v>
      </c>
      <c r="W8" s="30"/>
      <c r="X8" s="30"/>
      <c r="Y8" s="30"/>
      <c r="Z8" s="30"/>
      <c r="AA8" s="30"/>
      <c r="AB8" s="26"/>
    </row>
    <row r="9" spans="1:28" x14ac:dyDescent="0.25">
      <c r="A9" s="30" t="s">
        <v>20</v>
      </c>
      <c r="B9" s="30"/>
      <c r="C9" s="14">
        <f>MIN(V7:V58)</f>
        <v>0.26714152392900076</v>
      </c>
      <c r="D9" s="67">
        <f>D$2*$C9+D$3</f>
        <v>1.5139678621532011</v>
      </c>
      <c r="E9" s="67">
        <f t="shared" si="4"/>
        <v>1.5182371337207017</v>
      </c>
      <c r="F9" s="67">
        <f t="shared" si="4"/>
        <v>1.5262400364066164</v>
      </c>
      <c r="G9" s="67">
        <f t="shared" si="4"/>
        <v>1.2671415239290007</v>
      </c>
      <c r="H9" s="67">
        <f t="shared" si="4"/>
        <v>1.2671415239290007</v>
      </c>
      <c r="I9" s="67">
        <f t="shared" si="3"/>
        <v>1.2671415239290007</v>
      </c>
      <c r="J9" s="67">
        <f t="shared" si="3"/>
        <v>1.2671415239290007</v>
      </c>
      <c r="K9" s="67">
        <f>K$2*$C9+K$3</f>
        <v>1.2671415239290007</v>
      </c>
      <c r="L9" s="67">
        <f t="shared" si="3"/>
        <v>1.2671415239290007</v>
      </c>
      <c r="M9" s="67">
        <f t="shared" si="3"/>
        <v>1.2671415239290007</v>
      </c>
      <c r="N9" s="30"/>
      <c r="O9" s="30"/>
      <c r="P9" s="47"/>
      <c r="Q9" s="30"/>
      <c r="R9" s="30"/>
      <c r="S9" s="30"/>
      <c r="T9" s="30"/>
      <c r="U9" s="30">
        <f>2*$B$24/51</f>
        <v>0.27450980392156865</v>
      </c>
      <c r="V9" s="11">
        <f t="shared" si="5"/>
        <v>0.40534596240207355</v>
      </c>
      <c r="W9" s="30"/>
      <c r="X9" s="30"/>
      <c r="Y9" s="30"/>
      <c r="Z9" s="30"/>
      <c r="AA9" s="30"/>
      <c r="AB9" s="26"/>
    </row>
    <row r="10" spans="1:28" x14ac:dyDescent="0.25">
      <c r="A10" s="2"/>
      <c r="B10" s="3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>
        <f>3*$B$24/51</f>
        <v>0.41176470588235292</v>
      </c>
      <c r="V10" s="11">
        <f t="shared" si="5"/>
        <v>0.40252546365772518</v>
      </c>
      <c r="W10" s="30"/>
      <c r="X10" s="30"/>
      <c r="Y10" s="30"/>
      <c r="Z10" s="30"/>
      <c r="AA10" s="30"/>
      <c r="AB10" s="26"/>
    </row>
    <row r="11" spans="1:28" x14ac:dyDescent="0.25">
      <c r="A11" s="30"/>
      <c r="B11" s="30"/>
      <c r="C11" s="16" t="s">
        <v>26</v>
      </c>
      <c r="D11" s="7">
        <f>D8-D9</f>
        <v>1.4000000000000012E-2</v>
      </c>
      <c r="E11" s="7">
        <f t="shared" ref="E11:M11" si="6">E8-E9</f>
        <v>1.4432283108266164E-2</v>
      </c>
      <c r="F11" s="7">
        <f t="shared" si="6"/>
        <v>1.5580089604186664E-2</v>
      </c>
      <c r="G11" s="7">
        <f t="shared" si="6"/>
        <v>0.14384543596176957</v>
      </c>
      <c r="H11" s="7">
        <f t="shared" si="6"/>
        <v>0.14384543596176957</v>
      </c>
      <c r="I11" s="7">
        <f t="shared" si="6"/>
        <v>0.14384543596176957</v>
      </c>
      <c r="J11" s="7">
        <f t="shared" si="6"/>
        <v>0.14384543596176957</v>
      </c>
      <c r="K11" s="7">
        <f t="shared" si="6"/>
        <v>0.14384543596176957</v>
      </c>
      <c r="L11" s="7">
        <f t="shared" si="6"/>
        <v>0.14384543596176957</v>
      </c>
      <c r="M11" s="7">
        <f t="shared" si="6"/>
        <v>0.14384543596176957</v>
      </c>
      <c r="N11" s="30"/>
      <c r="O11" s="30"/>
      <c r="P11" s="30"/>
      <c r="Q11" s="30"/>
      <c r="R11" s="30"/>
      <c r="S11" s="30"/>
      <c r="T11" s="30"/>
      <c r="U11" s="30">
        <f>4*$B$24/51</f>
        <v>0.5490196078431373</v>
      </c>
      <c r="V11" s="11">
        <f t="shared" si="5"/>
        <v>0.39970496491337665</v>
      </c>
      <c r="W11" s="30"/>
      <c r="X11" s="30"/>
      <c r="Y11" s="30"/>
      <c r="Z11" s="30"/>
      <c r="AA11" s="30"/>
      <c r="AB11" s="26"/>
    </row>
    <row r="12" spans="1:28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>
        <f>5*$B$24/51</f>
        <v>0.68627450980392157</v>
      </c>
      <c r="V12" s="11">
        <f t="shared" si="5"/>
        <v>0.39688446616902828</v>
      </c>
      <c r="W12" s="30"/>
      <c r="X12" s="30"/>
      <c r="Y12" s="30"/>
      <c r="Z12" s="30"/>
      <c r="AA12" s="30"/>
      <c r="AB12" s="26"/>
    </row>
    <row r="13" spans="1:28" x14ac:dyDescent="0.25">
      <c r="A13" s="30"/>
      <c r="B13" s="63"/>
      <c r="C13" s="19"/>
      <c r="D13" s="3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>
        <f>6*$B$24/51</f>
        <v>0.82352941176470584</v>
      </c>
      <c r="V13" s="11">
        <f t="shared" si="5"/>
        <v>0.39406396742467986</v>
      </c>
      <c r="W13" s="30"/>
      <c r="X13" s="30"/>
      <c r="Y13" s="30"/>
      <c r="Z13" s="30"/>
      <c r="AA13" s="30"/>
      <c r="AB13" s="26"/>
    </row>
    <row r="14" spans="1:28" x14ac:dyDescent="0.25">
      <c r="A14" s="30"/>
      <c r="B14" s="30"/>
      <c r="C14" s="19"/>
      <c r="D14" s="3"/>
      <c r="E14" s="30"/>
      <c r="F14" s="30"/>
      <c r="G14" s="47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>
        <f>7*$B$24/51</f>
        <v>0.96078431372549022</v>
      </c>
      <c r="V14" s="11">
        <f t="shared" si="5"/>
        <v>0.39124346868033144</v>
      </c>
      <c r="W14" s="30"/>
      <c r="X14" s="30"/>
      <c r="Y14" s="30"/>
      <c r="Z14" s="30"/>
      <c r="AA14" s="30"/>
      <c r="AB14" s="26"/>
    </row>
    <row r="15" spans="1:28" ht="30.75" thickBot="1" x14ac:dyDescent="0.3">
      <c r="A15" s="30"/>
      <c r="B15" s="30"/>
      <c r="C15" s="8" t="s">
        <v>16</v>
      </c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 t="s">
        <v>43</v>
      </c>
      <c r="P15" s="30"/>
      <c r="Q15" s="30"/>
      <c r="R15" s="30"/>
      <c r="S15" s="30"/>
      <c r="T15" s="30"/>
      <c r="U15" s="30">
        <f>8*$B$24/51</f>
        <v>1.0980392156862746</v>
      </c>
      <c r="V15" s="11">
        <f t="shared" si="5"/>
        <v>0.38842296993598302</v>
      </c>
      <c r="W15" s="30"/>
      <c r="X15" s="30"/>
      <c r="Y15" s="30"/>
      <c r="Z15" s="30"/>
      <c r="AA15" s="30"/>
      <c r="AB15" s="26"/>
    </row>
    <row r="16" spans="1:28" ht="18.75" thickBot="1" x14ac:dyDescent="0.4">
      <c r="A16" s="30" t="s">
        <v>60</v>
      </c>
      <c r="B16" s="30"/>
      <c r="C16" s="23" t="s">
        <v>15</v>
      </c>
      <c r="D16" s="67">
        <f>D$2*$C$7+D$3</f>
        <v>1.4879678621532011</v>
      </c>
      <c r="E16" s="67">
        <f>E$2*$C$7+E$3</f>
        <v>1.4914343222339215</v>
      </c>
      <c r="F16" s="78">
        <f t="shared" ref="F16:M16" si="7">F$2*$C$7+F$3</f>
        <v>1.4973055842845553</v>
      </c>
      <c r="G16" s="67">
        <f t="shared" si="7"/>
        <v>1</v>
      </c>
      <c r="H16" s="67">
        <f t="shared" si="7"/>
        <v>1</v>
      </c>
      <c r="I16" s="67">
        <f t="shared" si="7"/>
        <v>1</v>
      </c>
      <c r="J16" s="67">
        <f t="shared" si="7"/>
        <v>1</v>
      </c>
      <c r="K16" s="67">
        <f t="shared" si="7"/>
        <v>1</v>
      </c>
      <c r="L16" s="67">
        <f t="shared" si="7"/>
        <v>1</v>
      </c>
      <c r="M16" s="67">
        <f t="shared" si="7"/>
        <v>1</v>
      </c>
      <c r="N16" s="30"/>
      <c r="O16" s="30" t="s">
        <v>31</v>
      </c>
      <c r="P16" s="30">
        <f>(D16-D3)/D2</f>
        <v>0</v>
      </c>
      <c r="Q16" s="30"/>
      <c r="R16" s="30"/>
      <c r="S16" s="30"/>
      <c r="T16" s="30"/>
      <c r="U16" s="30">
        <f>9*$B$24/51</f>
        <v>1.2352941176470589</v>
      </c>
      <c r="V16" s="11">
        <f t="shared" si="5"/>
        <v>0.3856024711916346</v>
      </c>
      <c r="W16" s="30"/>
      <c r="X16" s="30"/>
      <c r="Y16" s="30"/>
      <c r="Z16" s="30"/>
      <c r="AA16" s="30"/>
      <c r="AB16" s="26"/>
    </row>
    <row r="17" spans="1:28" ht="18.75" thickBot="1" x14ac:dyDescent="0.4">
      <c r="A17" s="30" t="s">
        <v>61</v>
      </c>
      <c r="B17" s="30"/>
      <c r="C17" s="24" t="s">
        <v>15</v>
      </c>
      <c r="D17" s="79">
        <v>2E-3</v>
      </c>
      <c r="E17" s="67">
        <f>E2*$D$17/$D$2</f>
        <v>2.0617547297523166E-3</v>
      </c>
      <c r="F17" s="67">
        <f>F2*$D$17/$D$2</f>
        <v>2.2257270863123924E-3</v>
      </c>
      <c r="G17" s="67">
        <f>G2*$D$17/$D$2</f>
        <v>2.054934799453852E-2</v>
      </c>
      <c r="H17" s="67">
        <f>H2*$D$17/$D$2</f>
        <v>2.054934799453852E-2</v>
      </c>
      <c r="I17" s="67">
        <f t="shared" ref="I17:M17" si="8">I2*$D$17/$D$2</f>
        <v>2.054934799453852E-2</v>
      </c>
      <c r="J17" s="67">
        <f t="shared" si="8"/>
        <v>2.054934799453852E-2</v>
      </c>
      <c r="K17" s="67">
        <f t="shared" si="8"/>
        <v>2.054934799453852E-2</v>
      </c>
      <c r="L17" s="67">
        <f t="shared" si="8"/>
        <v>2.054934799453852E-2</v>
      </c>
      <c r="M17" s="67">
        <f t="shared" si="8"/>
        <v>2.054934799453852E-2</v>
      </c>
      <c r="N17" s="30"/>
      <c r="O17" s="30" t="s">
        <v>70</v>
      </c>
      <c r="P17" s="11">
        <f>D17/D2</f>
        <v>2.054934799453852E-2</v>
      </c>
      <c r="Q17" s="30"/>
      <c r="R17" s="30"/>
      <c r="S17" s="30"/>
      <c r="T17" s="30"/>
      <c r="U17" s="30">
        <f>10*$B$24/51</f>
        <v>1.3725490196078431</v>
      </c>
      <c r="V17" s="11">
        <f t="shared" si="5"/>
        <v>0.38278197244728618</v>
      </c>
      <c r="W17" s="30"/>
      <c r="X17" s="30"/>
      <c r="Y17" s="30"/>
      <c r="Z17" s="30"/>
      <c r="AA17" s="30"/>
      <c r="AB17" s="26"/>
    </row>
    <row r="18" spans="1:28" ht="18.75" thickBot="1" x14ac:dyDescent="0.4">
      <c r="A18" s="30" t="s">
        <v>62</v>
      </c>
      <c r="B18" s="30"/>
      <c r="C18" s="24" t="s">
        <v>15</v>
      </c>
      <c r="D18" s="79">
        <v>0</v>
      </c>
      <c r="E18" s="67">
        <f>E2*$D$18/$D$2</f>
        <v>0</v>
      </c>
      <c r="F18" s="67">
        <f t="shared" ref="F18:M18" si="9">F2*$D$18/$D$2</f>
        <v>0</v>
      </c>
      <c r="G18" s="67">
        <f t="shared" si="9"/>
        <v>0</v>
      </c>
      <c r="H18" s="67">
        <f t="shared" si="9"/>
        <v>0</v>
      </c>
      <c r="I18" s="67">
        <f t="shared" si="9"/>
        <v>0</v>
      </c>
      <c r="J18" s="67">
        <f t="shared" si="9"/>
        <v>0</v>
      </c>
      <c r="K18" s="67">
        <f t="shared" si="9"/>
        <v>0</v>
      </c>
      <c r="L18" s="67">
        <f t="shared" si="9"/>
        <v>0</v>
      </c>
      <c r="M18" s="67">
        <f t="shared" si="9"/>
        <v>0</v>
      </c>
      <c r="N18" s="30"/>
      <c r="O18" s="30" t="s">
        <v>71</v>
      </c>
      <c r="P18" s="31">
        <f>D18/D2</f>
        <v>0</v>
      </c>
      <c r="Q18" s="30"/>
      <c r="R18" s="30"/>
      <c r="S18" s="30"/>
      <c r="T18" s="30"/>
      <c r="U18" s="30">
        <f>11*$B$24/51</f>
        <v>1.5098039215686274</v>
      </c>
      <c r="V18" s="11">
        <f t="shared" si="5"/>
        <v>0.37996147370293776</v>
      </c>
      <c r="W18" s="30"/>
      <c r="X18" s="30"/>
      <c r="Y18" s="30"/>
      <c r="Z18" s="30"/>
      <c r="AA18" s="30"/>
      <c r="AB18" s="26"/>
    </row>
    <row r="19" spans="1:28" ht="18.75" thickBot="1" x14ac:dyDescent="0.4">
      <c r="A19" s="30" t="s">
        <v>63</v>
      </c>
      <c r="B19" s="30"/>
      <c r="C19" s="25" t="s">
        <v>15</v>
      </c>
      <c r="D19" s="79">
        <v>0</v>
      </c>
      <c r="E19" s="67">
        <f>E2*$D$19/$D$2</f>
        <v>0</v>
      </c>
      <c r="F19" s="67">
        <f t="shared" ref="F19:M19" si="10">F2*$D$19/$D$2</f>
        <v>0</v>
      </c>
      <c r="G19" s="67">
        <f t="shared" si="10"/>
        <v>0</v>
      </c>
      <c r="H19" s="67">
        <f t="shared" si="10"/>
        <v>0</v>
      </c>
      <c r="I19" s="67">
        <f t="shared" si="10"/>
        <v>0</v>
      </c>
      <c r="J19" s="67">
        <f t="shared" si="10"/>
        <v>0</v>
      </c>
      <c r="K19" s="67">
        <f t="shared" si="10"/>
        <v>0</v>
      </c>
      <c r="L19" s="67">
        <f t="shared" si="10"/>
        <v>0</v>
      </c>
      <c r="M19" s="67">
        <f t="shared" si="10"/>
        <v>0</v>
      </c>
      <c r="N19" s="30"/>
      <c r="O19" s="30" t="s">
        <v>72</v>
      </c>
      <c r="P19" s="31">
        <f>D19/D2</f>
        <v>0</v>
      </c>
      <c r="Q19" s="30"/>
      <c r="R19" s="30"/>
      <c r="S19" s="30"/>
      <c r="T19" s="30"/>
      <c r="U19" s="30">
        <f>12*$B$24/51</f>
        <v>1.6470588235294117</v>
      </c>
      <c r="V19" s="11">
        <f t="shared" si="5"/>
        <v>0.37714097495858928</v>
      </c>
      <c r="W19" s="30"/>
      <c r="X19" s="30"/>
      <c r="Y19" s="30"/>
      <c r="Z19" s="30"/>
      <c r="AA19" s="30"/>
      <c r="AB19" s="11"/>
    </row>
    <row r="20" spans="1:28" ht="18.75" thickBot="1" x14ac:dyDescent="0.4">
      <c r="A20" s="30" t="s">
        <v>64</v>
      </c>
      <c r="B20" s="30"/>
      <c r="C20" s="20" t="s">
        <v>15</v>
      </c>
      <c r="D20" s="79">
        <v>0</v>
      </c>
      <c r="E20" s="67">
        <f>E2*$D$20/$D$2</f>
        <v>0</v>
      </c>
      <c r="F20" s="67">
        <f t="shared" ref="F20:M20" si="11">F2*$D$20/$D$2</f>
        <v>0</v>
      </c>
      <c r="G20" s="67">
        <f t="shared" si="11"/>
        <v>0</v>
      </c>
      <c r="H20" s="67">
        <f t="shared" si="11"/>
        <v>0</v>
      </c>
      <c r="I20" s="67">
        <f t="shared" si="11"/>
        <v>0</v>
      </c>
      <c r="J20" s="67">
        <f t="shared" si="11"/>
        <v>0</v>
      </c>
      <c r="K20" s="67">
        <f t="shared" si="11"/>
        <v>0</v>
      </c>
      <c r="L20" s="67">
        <f t="shared" si="11"/>
        <v>0</v>
      </c>
      <c r="M20" s="67">
        <f t="shared" si="11"/>
        <v>0</v>
      </c>
      <c r="N20" s="30"/>
      <c r="O20" s="30" t="s">
        <v>73</v>
      </c>
      <c r="P20" s="31">
        <f>D20/D2</f>
        <v>0</v>
      </c>
      <c r="Q20" s="30"/>
      <c r="R20" s="30"/>
      <c r="S20" s="30"/>
      <c r="T20" s="30"/>
      <c r="U20" s="30">
        <f>13*$B$24/51</f>
        <v>1.7843137254901962</v>
      </c>
      <c r="V20" s="11">
        <f t="shared" si="5"/>
        <v>0.37432047621424086</v>
      </c>
      <c r="W20" s="30"/>
      <c r="X20" s="30"/>
      <c r="Y20" s="30"/>
      <c r="Z20" s="30"/>
      <c r="AA20" s="30"/>
      <c r="AB20" s="26"/>
    </row>
    <row r="21" spans="1:28" ht="16.5" thickBot="1" x14ac:dyDescent="0.3">
      <c r="A21" s="30" t="s">
        <v>75</v>
      </c>
      <c r="B21" s="30"/>
      <c r="C21" s="20" t="s">
        <v>15</v>
      </c>
      <c r="D21" s="44">
        <f>1/20</f>
        <v>0.05</v>
      </c>
      <c r="E21" s="48" t="str">
        <f>IF(D21=0,"WARNING: RAYS WILL NOT TRACE IF C=0","")</f>
        <v/>
      </c>
      <c r="F21" s="11"/>
      <c r="G21" s="11"/>
      <c r="H21" s="11"/>
      <c r="I21" s="11"/>
      <c r="J21" s="11"/>
      <c r="K21" s="11"/>
      <c r="L21" s="11"/>
      <c r="M21" s="11"/>
      <c r="N21" s="30"/>
      <c r="O21" s="30"/>
      <c r="P21" s="31"/>
      <c r="Q21" s="30"/>
      <c r="R21" s="30"/>
      <c r="S21" s="30"/>
      <c r="T21" s="30"/>
      <c r="U21" s="30">
        <f>14*$B$24/51</f>
        <v>1.9215686274509804</v>
      </c>
      <c r="V21" s="11">
        <f t="shared" si="5"/>
        <v>0.37149997746989244</v>
      </c>
      <c r="W21" s="30"/>
      <c r="X21" s="30"/>
      <c r="Y21" s="30"/>
      <c r="Z21" s="30"/>
      <c r="AA21" s="30"/>
      <c r="AB21" s="26"/>
    </row>
    <row r="22" spans="1:28" ht="18" x14ac:dyDescent="0.35">
      <c r="A22" s="30" t="s">
        <v>96</v>
      </c>
      <c r="B22" s="30"/>
      <c r="C22" s="39"/>
      <c r="D22" s="49">
        <f>1/D21</f>
        <v>20</v>
      </c>
      <c r="E22" s="11"/>
      <c r="F22" s="11"/>
      <c r="G22" s="11"/>
      <c r="H22" s="11"/>
      <c r="I22" s="11"/>
      <c r="J22" s="11"/>
      <c r="K22" s="11"/>
      <c r="L22" s="11"/>
      <c r="M22" s="11"/>
      <c r="N22" s="30"/>
      <c r="O22" s="30"/>
      <c r="P22" s="31"/>
      <c r="Q22" s="30"/>
      <c r="R22" s="30"/>
      <c r="S22" s="30"/>
      <c r="T22" s="30"/>
      <c r="U22" s="30">
        <f>15*$B$24/51</f>
        <v>2.0588235294117645</v>
      </c>
      <c r="V22" s="11">
        <f t="shared" si="5"/>
        <v>0.36867947872554402</v>
      </c>
      <c r="W22" s="30"/>
      <c r="X22" s="30"/>
      <c r="Y22" s="30"/>
      <c r="Z22" s="30"/>
      <c r="AA22" s="30"/>
      <c r="AB22" s="26"/>
    </row>
    <row r="23" spans="1:28" ht="15.75" thickBot="1" x14ac:dyDescent="0.3">
      <c r="A23" s="30"/>
      <c r="B23" s="30"/>
      <c r="C23" s="30"/>
      <c r="D23" s="30"/>
      <c r="E23" s="30"/>
      <c r="F23" s="30"/>
      <c r="G23" s="11"/>
      <c r="H23" s="11"/>
      <c r="I23" s="11"/>
      <c r="J23" s="11"/>
      <c r="K23" s="11"/>
      <c r="L23" s="11"/>
      <c r="M23" s="11"/>
      <c r="N23" s="30"/>
      <c r="O23" s="30"/>
      <c r="P23" s="31"/>
      <c r="Q23" s="30"/>
      <c r="R23" s="30"/>
      <c r="S23" s="30"/>
      <c r="T23" s="30"/>
      <c r="U23" s="30">
        <f>16*$B$24/51</f>
        <v>2.1960784313725492</v>
      </c>
      <c r="V23" s="11">
        <f t="shared" si="5"/>
        <v>0.36585897998119565</v>
      </c>
      <c r="W23" s="30"/>
      <c r="X23" s="30"/>
      <c r="Y23" s="30"/>
      <c r="Z23" s="30"/>
      <c r="AA23" s="30"/>
      <c r="AB23" s="26"/>
    </row>
    <row r="24" spans="1:28" ht="15.75" thickBot="1" x14ac:dyDescent="0.3">
      <c r="A24" s="30" t="s">
        <v>14</v>
      </c>
      <c r="B24" s="22">
        <v>7</v>
      </c>
      <c r="C24" s="30"/>
      <c r="D24" s="30"/>
      <c r="E24" s="30"/>
      <c r="F24" s="30"/>
      <c r="G24" s="11"/>
      <c r="H24" s="11"/>
      <c r="I24" s="11"/>
      <c r="J24" s="11"/>
      <c r="K24" s="11"/>
      <c r="L24" s="26"/>
      <c r="M24" s="11"/>
      <c r="N24" s="30"/>
      <c r="O24" s="30"/>
      <c r="P24" s="31"/>
      <c r="Q24" s="30"/>
      <c r="R24" s="30"/>
      <c r="S24" s="30"/>
      <c r="T24" s="30"/>
      <c r="U24" s="30">
        <f>17*$B$24/51</f>
        <v>2.3333333333333335</v>
      </c>
      <c r="V24" s="11">
        <f t="shared" si="5"/>
        <v>0.36303848123684723</v>
      </c>
      <c r="W24" s="30"/>
      <c r="X24" s="30"/>
      <c r="Y24" s="30"/>
      <c r="Z24" s="30"/>
      <c r="AA24" s="30"/>
      <c r="AB24" s="26"/>
    </row>
    <row r="25" spans="1:28" x14ac:dyDescent="0.25">
      <c r="A25" s="30"/>
      <c r="B25" s="9"/>
      <c r="C25" s="30"/>
      <c r="D25" s="30"/>
      <c r="E25" s="30"/>
      <c r="F25" s="26"/>
      <c r="G25" s="11"/>
      <c r="H25" s="11"/>
      <c r="I25" s="11"/>
      <c r="J25" s="11"/>
      <c r="K25" s="11"/>
      <c r="L25" s="26"/>
      <c r="M25" s="9"/>
      <c r="N25" s="30"/>
      <c r="O25" s="30"/>
      <c r="P25" s="31"/>
      <c r="Q25" s="30"/>
      <c r="R25" s="30"/>
      <c r="S25" s="30"/>
      <c r="T25" s="30"/>
      <c r="U25" s="30">
        <f>18*$B$24/51</f>
        <v>2.4705882352941178</v>
      </c>
      <c r="V25" s="11">
        <f t="shared" si="5"/>
        <v>0.36021798249249881</v>
      </c>
      <c r="W25" s="30"/>
      <c r="X25" s="30"/>
      <c r="Y25" s="30"/>
      <c r="Z25" s="30"/>
      <c r="AA25" s="30"/>
      <c r="AB25" s="26"/>
    </row>
    <row r="26" spans="1:28" x14ac:dyDescent="0.25">
      <c r="A26" s="30"/>
      <c r="B26" s="9"/>
      <c r="C26" s="30"/>
      <c r="D26" s="30"/>
      <c r="E26" s="30"/>
      <c r="F26" s="26"/>
      <c r="G26" s="11"/>
      <c r="H26" s="11"/>
      <c r="I26" s="11"/>
      <c r="J26" s="11"/>
      <c r="K26" s="11"/>
      <c r="L26" s="26"/>
      <c r="M26" s="30"/>
      <c r="N26" s="30"/>
      <c r="O26" s="30"/>
      <c r="P26" s="31"/>
      <c r="Q26" s="30"/>
      <c r="R26" s="30"/>
      <c r="S26" s="30"/>
      <c r="T26" s="30"/>
      <c r="U26" s="30">
        <f>19*$B$24/51</f>
        <v>2.607843137254902</v>
      </c>
      <c r="V26" s="11">
        <f t="shared" si="5"/>
        <v>0.35739748374815034</v>
      </c>
      <c r="W26" s="30"/>
      <c r="X26" s="30"/>
      <c r="Y26" s="30"/>
      <c r="Z26" s="30"/>
      <c r="AA26" s="30"/>
      <c r="AB26" s="26"/>
    </row>
    <row r="27" spans="1:28" x14ac:dyDescent="0.25">
      <c r="A27" s="30"/>
      <c r="B27" s="30" t="str">
        <f>"Based on "&amp;F1&amp;", "&amp;E1&amp;", "&amp;D1&amp; " um"</f>
        <v>Based on 0.486, 0.587, 0.656 um</v>
      </c>
      <c r="C27" s="30"/>
      <c r="D27" s="30"/>
      <c r="E27" s="30" t="str">
        <f>IF(H1=0,"","Based on "&amp;H1&amp;", "&amp;F1&amp;", "&amp;D1&amp; " um")</f>
        <v/>
      </c>
      <c r="F27" s="30"/>
      <c r="G27" s="11"/>
      <c r="H27" s="30" t="str">
        <f>IF(M1=0,"","Based on "&amp;M1&amp;", "&amp;K1&amp;", "&amp;I1&amp; " um")</f>
        <v/>
      </c>
      <c r="I27" s="30"/>
      <c r="J27" s="30"/>
      <c r="K27" s="30"/>
      <c r="L27" s="30"/>
      <c r="M27" s="11"/>
      <c r="N27" s="30"/>
      <c r="O27" s="30"/>
      <c r="P27" s="31"/>
      <c r="Q27" s="30"/>
      <c r="R27" s="30"/>
      <c r="S27" s="30"/>
      <c r="T27" s="30"/>
      <c r="U27" s="30">
        <f>20*$B$24/51</f>
        <v>2.7450980392156863</v>
      </c>
      <c r="V27" s="11">
        <f t="shared" si="5"/>
        <v>0.35457698500380191</v>
      </c>
      <c r="W27" s="30"/>
      <c r="X27" s="30"/>
      <c r="Y27" s="30"/>
      <c r="Z27" s="30"/>
      <c r="AA27" s="30"/>
      <c r="AB27" s="26"/>
    </row>
    <row r="28" spans="1:28" x14ac:dyDescent="0.25">
      <c r="A28" s="30"/>
      <c r="B28" s="30" t="s">
        <v>50</v>
      </c>
      <c r="C28" s="9">
        <f>(E16-1)/(F16-D16)</f>
        <v>52.628929766905742</v>
      </c>
      <c r="D28" s="30"/>
      <c r="E28" s="30" t="s">
        <v>50</v>
      </c>
      <c r="F28" s="30" t="str">
        <f>IF(H1=0,"N/A",(F16-1)/(H16-D16))</f>
        <v>N/A</v>
      </c>
      <c r="G28" s="11"/>
      <c r="H28" s="30" t="s">
        <v>50</v>
      </c>
      <c r="I28" s="30" t="str">
        <f>IF(I1=0,"N/A",(K16-1)/(M16-I16))</f>
        <v>N/A</v>
      </c>
      <c r="J28" s="30"/>
      <c r="K28" s="30"/>
      <c r="L28" s="30"/>
      <c r="M28" s="11"/>
      <c r="N28" s="30"/>
      <c r="O28" s="30"/>
      <c r="P28" s="31"/>
      <c r="Q28" s="30"/>
      <c r="R28" s="30"/>
      <c r="S28" s="30"/>
      <c r="T28" s="30"/>
      <c r="U28" s="30">
        <f>21*$B$24/51</f>
        <v>2.8823529411764706</v>
      </c>
      <c r="V28" s="11">
        <f t="shared" si="5"/>
        <v>0.35175648625945349</v>
      </c>
      <c r="W28" s="30"/>
      <c r="X28" s="30"/>
      <c r="Y28" s="30"/>
      <c r="Z28" s="30"/>
      <c r="AA28" s="30"/>
      <c r="AB28" s="26"/>
    </row>
    <row r="29" spans="1:28" x14ac:dyDescent="0.25">
      <c r="A29" s="30"/>
      <c r="B29" s="30" t="s">
        <v>58</v>
      </c>
      <c r="C29" s="9">
        <f>IF(D17=0,"N/A",E17/(F17-D17))</f>
        <v>9.1338384038633951</v>
      </c>
      <c r="D29" s="11"/>
      <c r="E29" s="30" t="s">
        <v>58</v>
      </c>
      <c r="F29" s="26" t="str">
        <f>IF(OR(H1=0,D17=0),"N/A",F17/(H17-D17))</f>
        <v>N/A</v>
      </c>
      <c r="G29" s="11"/>
      <c r="H29" s="30" t="s">
        <v>58</v>
      </c>
      <c r="I29" s="26" t="str">
        <f>IF(OR(I1=0,D17=0),"N/A",K17/(M17-I17))</f>
        <v>N/A</v>
      </c>
      <c r="J29" s="30"/>
      <c r="K29" s="30"/>
      <c r="L29" s="30"/>
      <c r="M29" s="11"/>
      <c r="N29" s="30"/>
      <c r="O29" s="30"/>
      <c r="P29" s="31"/>
      <c r="Q29" s="30"/>
      <c r="R29" s="30"/>
      <c r="S29" s="30"/>
      <c r="T29" s="30"/>
      <c r="U29" s="30">
        <f>22*$B$24/51</f>
        <v>3.0196078431372548</v>
      </c>
      <c r="V29" s="11">
        <f t="shared" si="5"/>
        <v>0.34893598751510507</v>
      </c>
      <c r="W29" s="30"/>
      <c r="X29" s="30"/>
      <c r="Y29" s="30"/>
      <c r="Z29" s="30"/>
      <c r="AA29" s="30"/>
      <c r="AB29" s="26"/>
    </row>
    <row r="30" spans="1:28" x14ac:dyDescent="0.25">
      <c r="A30" s="30"/>
      <c r="B30" s="30"/>
      <c r="C30" s="39"/>
      <c r="D30" s="40"/>
      <c r="E30" s="11"/>
      <c r="F30" s="11"/>
      <c r="G30" s="11"/>
      <c r="H30" s="11"/>
      <c r="I30" s="11"/>
      <c r="J30" s="11"/>
      <c r="K30" s="11"/>
      <c r="L30" s="11"/>
      <c r="M30" s="11"/>
      <c r="N30" s="30"/>
      <c r="O30" s="30"/>
      <c r="P30" s="31"/>
      <c r="Q30" s="30"/>
      <c r="R30" s="30"/>
      <c r="S30" s="30"/>
      <c r="T30" s="30"/>
      <c r="U30" s="30">
        <f>23*$B$24/51</f>
        <v>3.1568627450980391</v>
      </c>
      <c r="V30" s="11">
        <f t="shared" si="5"/>
        <v>0.34611548877075665</v>
      </c>
      <c r="W30" s="30"/>
      <c r="X30" s="30"/>
      <c r="Y30" s="30"/>
      <c r="Z30" s="30"/>
      <c r="AA30" s="30"/>
      <c r="AB30" s="26"/>
    </row>
    <row r="31" spans="1:28" ht="15.75" thickBot="1" x14ac:dyDescent="0.3">
      <c r="A31" s="30"/>
      <c r="B31" s="30"/>
      <c r="C31" s="30"/>
      <c r="D31" s="30"/>
      <c r="E31" s="30"/>
      <c r="F31" s="30"/>
      <c r="G31" s="6"/>
      <c r="H31" s="30"/>
      <c r="I31" s="30"/>
      <c r="J31" s="30"/>
      <c r="K31" s="30"/>
      <c r="L31" s="30"/>
      <c r="M31" s="30"/>
      <c r="N31" s="30"/>
      <c r="O31" s="30"/>
      <c r="P31" s="30"/>
      <c r="Q31" s="50"/>
      <c r="R31" s="30"/>
      <c r="S31" s="30"/>
      <c r="T31" s="30"/>
      <c r="U31" s="30">
        <f>24*$B$24/51</f>
        <v>3.2941176470588234</v>
      </c>
      <c r="V31" s="11">
        <f t="shared" si="5"/>
        <v>0.34329499002640823</v>
      </c>
      <c r="W31" s="30"/>
      <c r="X31" s="30"/>
      <c r="Y31" s="30"/>
      <c r="Z31" s="30"/>
      <c r="AA31" s="30"/>
      <c r="AB31" s="26"/>
    </row>
    <row r="32" spans="1:28" ht="30" x14ac:dyDescent="0.25">
      <c r="A32" s="2" t="s">
        <v>44</v>
      </c>
      <c r="B32" s="30"/>
      <c r="C32" s="51">
        <v>0</v>
      </c>
      <c r="D32" s="30" t="s">
        <v>46</v>
      </c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>
        <f>25*$B$24/51</f>
        <v>3.4313725490196076</v>
      </c>
      <c r="V32" s="11">
        <f t="shared" si="5"/>
        <v>0.34047449128205981</v>
      </c>
      <c r="W32" s="30"/>
      <c r="X32" s="30"/>
      <c r="Y32" s="30"/>
      <c r="Z32" s="30"/>
      <c r="AA32" s="30"/>
      <c r="AB32" s="26"/>
    </row>
    <row r="33" spans="1:28" ht="30.75" thickBot="1" x14ac:dyDescent="0.3">
      <c r="A33" s="2" t="s">
        <v>45</v>
      </c>
      <c r="B33" s="30"/>
      <c r="C33" s="52">
        <v>1</v>
      </c>
      <c r="D33" s="30" t="s">
        <v>47</v>
      </c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>
        <f>26*$B$24/51</f>
        <v>3.5686274509803924</v>
      </c>
      <c r="V33" s="11">
        <f t="shared" si="5"/>
        <v>0.33765399253771133</v>
      </c>
      <c r="W33" s="30"/>
      <c r="X33" s="30"/>
      <c r="Y33" s="30"/>
      <c r="Z33" s="30"/>
      <c r="AA33" s="30"/>
      <c r="AB33" s="26"/>
    </row>
    <row r="34" spans="1:28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>
        <f>27*$B$24/51</f>
        <v>3.7058823529411766</v>
      </c>
      <c r="V34" s="11">
        <f t="shared" si="5"/>
        <v>0.33483349379336291</v>
      </c>
      <c r="W34" s="30"/>
      <c r="X34" s="30"/>
      <c r="Y34" s="30"/>
      <c r="Z34" s="30"/>
      <c r="AA34" s="30"/>
      <c r="AB34" s="26"/>
    </row>
    <row r="35" spans="1:28" ht="15.75" thickBot="1" x14ac:dyDescent="0.3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>
        <f>28*$B$24/51</f>
        <v>3.8431372549019609</v>
      </c>
      <c r="V35" s="11">
        <f t="shared" si="5"/>
        <v>0.33201299504901449</v>
      </c>
      <c r="W35" s="30"/>
      <c r="X35" s="30"/>
      <c r="Y35" s="30"/>
      <c r="Z35" s="30"/>
      <c r="AA35" s="30"/>
      <c r="AB35" s="26"/>
    </row>
    <row r="36" spans="1:28" ht="15.75" thickBot="1" x14ac:dyDescent="0.3">
      <c r="A36" s="1" t="s">
        <v>2</v>
      </c>
      <c r="B36" s="30"/>
      <c r="C36" s="30"/>
      <c r="D36" s="30" t="s">
        <v>97</v>
      </c>
      <c r="E36" s="21">
        <v>1</v>
      </c>
      <c r="F36" s="30"/>
      <c r="G36" s="30" t="s">
        <v>3</v>
      </c>
      <c r="H36" s="21">
        <v>0.05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>
        <f>29*$B$24/51</f>
        <v>3.9803921568627452</v>
      </c>
      <c r="V36" s="11">
        <f t="shared" si="5"/>
        <v>0.32919249630466607</v>
      </c>
      <c r="W36" s="30"/>
      <c r="X36" s="30"/>
      <c r="Y36" s="30"/>
      <c r="Z36" s="30"/>
      <c r="AA36" s="30"/>
      <c r="AB36" s="26"/>
    </row>
    <row r="37" spans="1:28" x14ac:dyDescent="0.25">
      <c r="A37" s="1"/>
      <c r="B37" s="30"/>
      <c r="C37" s="30"/>
      <c r="D37" s="41" t="s">
        <v>98</v>
      </c>
      <c r="E37" s="27"/>
      <c r="F37" s="57"/>
      <c r="G37" s="57"/>
      <c r="H37" s="27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>
        <f>30*$B$24/51</f>
        <v>4.117647058823529</v>
      </c>
      <c r="V37" s="11">
        <f t="shared" si="5"/>
        <v>0.32637199756031771</v>
      </c>
      <c r="W37" s="30"/>
      <c r="X37" s="30"/>
      <c r="Y37" s="30"/>
      <c r="Z37" s="30"/>
      <c r="AA37" s="30"/>
      <c r="AB37" s="26"/>
    </row>
    <row r="38" spans="1:28" x14ac:dyDescent="0.25">
      <c r="A38" s="1"/>
      <c r="B38" s="30"/>
      <c r="C38" s="30"/>
      <c r="D38" s="30"/>
      <c r="E38" s="27"/>
      <c r="F38" s="57"/>
      <c r="G38" s="57"/>
      <c r="H38" s="27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>
        <f>31*$B$24/51</f>
        <v>4.2549019607843137</v>
      </c>
      <c r="V38" s="11">
        <f t="shared" si="5"/>
        <v>0.32355149881596929</v>
      </c>
      <c r="W38" s="30"/>
      <c r="X38" s="30"/>
      <c r="Y38" s="30"/>
      <c r="Z38" s="30"/>
      <c r="AA38" s="30"/>
      <c r="AB38" s="26"/>
    </row>
    <row r="39" spans="1:28" x14ac:dyDescent="0.25">
      <c r="A39" s="1" t="s">
        <v>68</v>
      </c>
      <c r="B39" s="30"/>
      <c r="C39" s="30"/>
      <c r="D39" s="30"/>
      <c r="E39" s="27"/>
      <c r="F39" s="57"/>
      <c r="G39" s="57"/>
      <c r="H39" s="27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>
        <f>32*$B$24/51</f>
        <v>4.3921568627450984</v>
      </c>
      <c r="V39" s="11">
        <f t="shared" si="5"/>
        <v>0.32073100007162081</v>
      </c>
      <c r="W39" s="30"/>
      <c r="X39" s="30"/>
      <c r="Y39" s="30"/>
      <c r="Z39" s="30"/>
      <c r="AA39" s="30"/>
      <c r="AB39" s="26"/>
    </row>
    <row r="40" spans="1:28" x14ac:dyDescent="0.25">
      <c r="A40" s="30" t="str">
        <f>"PRV; PWL "&amp;D1*1000&amp;" "&amp;E1*1000&amp;" "&amp;F1*1000&amp;IF(G1=0,""," "&amp;G1*1000)&amp;IF(H1=0,""," "&amp;H1*1000)&amp;IF(I1=0,""," "&amp;I1*1000)&amp;IF(J1=0,""," "&amp;J1*1000)&amp;IF(K1=0,""," "&amp;K1*1000)&amp;IF(L1=0,""," "&amp;L1*1000)&amp;IF(M1=0,""," "&amp;M1*1000)&amp;" ; 'grin"&amp;E36&amp;"' "&amp;D16&amp;" "&amp;E16&amp;" "&amp;F16&amp;IF(G1=0,""," "&amp;G16)&amp;IF(H1=0,""," "&amp;H16)&amp;IF(I1=0,""," "&amp;I16)&amp;IF(J1=0,""," "&amp;J16)&amp;IF(K1=0,""," "&amp;K16)&amp;IF(L1=0,""," "&amp;L16)&amp;IF(M1=0,""," "&amp;M16)&amp;"; UDG "&amp;H36&amp;"; UDG C1 "&amp;D17&amp;" "&amp;E17&amp;" "&amp;F17&amp;IF(G1=0,""," "&amp;G17)&amp;IF(H1=0,""," "&amp;H17)&amp;IF(I1=0,""," "&amp;I17)&amp;IF(J1=0,""," "&amp;J17)&amp;IF(K1=0,""," "&amp;K17)&amp;IF(L1=0,""," "&amp;L17)&amp;IF(M1=0,""," "&amp;M17)&amp;"; UDG C2 "&amp;D18&amp;" "&amp;E18&amp;" "&amp;F18&amp;IF(G1=0,""," "&amp;G18)&amp;IF(H1=0,""," "&amp;H18)&amp;IF(I1=0,""," "&amp;I18)&amp;IF(J1=0,""," "&amp;J18)&amp;IF(K1=0,""," "&amp;K18)&amp;IF(L1=0,""," "&amp;L18)&amp;IF(M1=0,""," "&amp;M18)&amp;"; UDG C3 "&amp;D19&amp;" "&amp;E19&amp;" "&amp;F19&amp;IF(G1=0,""," "&amp;G19)&amp;IF(H1=0,""," "&amp;H19)&amp;IF(I1=0,""," "&amp;I19)&amp;IF(J1=0,""," "&amp;J19)&amp;IF(K1=0,""," "&amp;K19)&amp;IF(L1=0,""," "&amp;L19)&amp;IF(M1=0,""," "&amp;M19)&amp;"; UDG C4 "&amp;D20&amp;" "&amp;E20&amp;" "&amp;F20&amp;IF(G1=0,""," "&amp;G20)&amp;IF(H1=0,""," "&amp;H20)&amp;IF(I1=0,""," "&amp;I20)&amp;IF(J1=0,""," "&amp;J20)&amp;IF(K1=0,""," "&amp;K20)&amp;IF(L1=0,""," "&amp;L20)&amp;IF(M1=0,""," "&amp;M20)&amp;"; UDG C5 "&amp;D21&amp;" "&amp;D21&amp;" "&amp;D21&amp;IF(G1=0,""," "&amp;D21)&amp;IF(H1=0,""," "&amp;D21)&amp;IF(I1=0,""," "&amp;D21)&amp;IF(J1=0,""," "&amp;D21)&amp;IF(K1=0,""," "&amp;D21)&amp;IF(L1=0,""," "&amp;D21)&amp;IF(M1=0,""," "&amp;D21)&amp;"; END;"</f>
        <v>PRV; PWL 656 587 486 ; 'grin1' 1.4879678621532 1.49143432223392 1.49730558428456; UDG 0.05; UDG C1 0.002 0.00206175472975232 0.00222572708631239; UDG C2 0 0 0; UDG C3 0 0 0; UDG C4 0 0 0; UDG C5 0.05 0.05 0.05; END;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>
        <f>33*$B$24/51</f>
        <v>4.5294117647058822</v>
      </c>
      <c r="V40" s="11">
        <f t="shared" si="5"/>
        <v>0.31791050132727239</v>
      </c>
      <c r="W40" s="30"/>
      <c r="X40" s="30"/>
      <c r="Y40" s="30"/>
      <c r="Z40" s="30"/>
      <c r="AA40" s="30"/>
      <c r="AB40" s="26"/>
    </row>
    <row r="41" spans="1:28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>
        <f>34*$B$24/51</f>
        <v>4.666666666666667</v>
      </c>
      <c r="V41" s="11">
        <f t="shared" si="5"/>
        <v>0.31509000258292397</v>
      </c>
      <c r="W41" s="30"/>
      <c r="X41" s="30"/>
      <c r="Y41" s="30"/>
      <c r="Z41" s="30"/>
      <c r="AA41" s="30"/>
      <c r="AB41" s="10"/>
    </row>
    <row r="42" spans="1:28" x14ac:dyDescent="0.25">
      <c r="A42" s="1" t="s">
        <v>5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>
        <f>35*$B$24/51</f>
        <v>4.8039215686274508</v>
      </c>
      <c r="V42" s="11">
        <f t="shared" si="5"/>
        <v>0.31226950383857555</v>
      </c>
      <c r="W42" s="30"/>
      <c r="X42" s="30"/>
      <c r="Y42" s="30"/>
      <c r="Z42" s="30"/>
      <c r="AA42" s="30"/>
      <c r="AB42" s="10"/>
    </row>
    <row r="43" spans="1:28" x14ac:dyDescent="0.25">
      <c r="A43" s="30" t="str">
        <f>"GRC C0 'grin"&amp;E36&amp;"' "&amp;IF(C16="yes",0,100)&amp;"; GRC C1 'grin"&amp;E36&amp;"' "&amp;IF(C17="yes",0,100)&amp;"; GRC C2 'grin"&amp;E36&amp;"' "&amp;IF(C18="yes",0,100)&amp;"; GRC C3 'grin"&amp;E36&amp;"' "&amp;IF(C19="yes",0,100)&amp;"; GRC C4 'grin"&amp;E36&amp;"' "&amp;IF(C20="yes",0,100)&amp;"; GRC C5 'grin"&amp;E36&amp;"' "&amp;IF(C21="yes",0,100)&amp;""</f>
        <v>GRC C0 'grin1' 0; GRC C1 'grin1' 0; GRC C2 'grin1' 0; GRC C3 'grin1' 0; GRC C4 'grin1' 0; GRC C5 'grin1' 0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>
        <f>36*$B$24/51</f>
        <v>4.9411764705882355</v>
      </c>
      <c r="V43" s="11">
        <f t="shared" si="5"/>
        <v>0.30944900509422713</v>
      </c>
      <c r="W43" s="30"/>
      <c r="X43" s="30"/>
      <c r="Y43" s="30"/>
      <c r="Z43" s="30"/>
      <c r="AA43" s="30"/>
      <c r="AB43" s="30"/>
    </row>
    <row r="44" spans="1:28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>
        <f>37*$B$24/51</f>
        <v>5.0784313725490193</v>
      </c>
      <c r="V44" s="11">
        <f t="shared" si="5"/>
        <v>0.3066285063498787</v>
      </c>
      <c r="W44" s="30"/>
      <c r="X44" s="30"/>
      <c r="Y44" s="30"/>
      <c r="Z44" s="30"/>
      <c r="AA44" s="30"/>
      <c r="AB44" s="10"/>
    </row>
    <row r="45" spans="1:28" x14ac:dyDescent="0.25">
      <c r="A45" s="1" t="s">
        <v>10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>
        <f>38*$B$24/51</f>
        <v>5.215686274509804</v>
      </c>
      <c r="V45" s="11">
        <f t="shared" si="5"/>
        <v>0.30380800760553028</v>
      </c>
      <c r="W45" s="30"/>
      <c r="X45" s="30"/>
      <c r="Y45" s="30"/>
      <c r="Z45" s="30"/>
      <c r="AA45" s="30"/>
      <c r="AB45" s="10"/>
    </row>
    <row r="46" spans="1:28" x14ac:dyDescent="0.25">
      <c r="A46" s="4" t="str">
        <f>"! CONSTRAINTS FOR OPTIMIZING SPHERICAL GRADIENT WITH RHO^1, RHO^2, RHO^3, and RHO^4 TERMS ON ELEMENT grin"&amp;E36</f>
        <v>! CONSTRAINTS FOR OPTIMIZING SPHERICAL GRADIENT WITH RHO^1, RHO^2, RHO^3, and RHO^4 TERMS ON ELEMENT grin1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>
        <f>39*$B$24/51</f>
        <v>5.3529411764705879</v>
      </c>
      <c r="V46" s="11">
        <f t="shared" si="5"/>
        <v>0.30098750886118186</v>
      </c>
      <c r="W46" s="30"/>
      <c r="X46" s="30"/>
      <c r="Y46" s="30"/>
      <c r="Z46" s="30"/>
      <c r="AA46" s="30"/>
      <c r="AB46" s="10"/>
    </row>
    <row r="47" spans="1:28" x14ac:dyDescent="0.25">
      <c r="A47" s="4" t="str">
        <f>"! ADAPTED FROM CODE WRITTEN BY PETER MCCARTHY BY JAMES CORSETTI ON JULY 18 2012"</f>
        <v>! ADAPTED FROM CODE WRITTEN BY PETER MCCARTHY BY JAMES CORSETTI ON JULY 18 2012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>
        <f>40*$B$24/51</f>
        <v>5.4901960784313726</v>
      </c>
      <c r="V47" s="11">
        <f t="shared" si="5"/>
        <v>0.29816701011683344</v>
      </c>
      <c r="W47" s="30"/>
      <c r="X47" s="30"/>
      <c r="Y47" s="30"/>
      <c r="Z47" s="30"/>
      <c r="AA47" s="30"/>
      <c r="AB47" s="10"/>
    </row>
    <row r="48" spans="1:28" x14ac:dyDescent="0.25">
      <c r="A48" s="4" t="str">
        <f>"! Define gradient coefficients at all wavelengths"</f>
        <v>! Define gradient coefficients at all wavelengths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>
        <f>41*$B$24/51</f>
        <v>5.6274509803921573</v>
      </c>
      <c r="V48" s="11">
        <f t="shared" si="5"/>
        <v>0.29534651137248497</v>
      </c>
      <c r="W48" s="30"/>
      <c r="X48" s="30"/>
      <c r="Y48" s="30"/>
      <c r="Z48" s="30"/>
      <c r="AA48" s="30"/>
      <c r="AB48" s="10"/>
    </row>
    <row r="49" spans="1:28" x14ac:dyDescent="0.25">
      <c r="A49" s="4" t="str">
        <f>"@N0_10_"&amp;E36&amp;" == (GRN C0 S'grin"&amp;E36&amp;"' W1)"</f>
        <v>@N0_10_1 == (GRN C0 S'grin1' W1)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>
        <f>42*$B$24/51</f>
        <v>5.7647058823529411</v>
      </c>
      <c r="V49" s="11">
        <f t="shared" si="5"/>
        <v>0.29252601262813654</v>
      </c>
      <c r="W49" s="30"/>
      <c r="X49" s="30"/>
      <c r="Y49" s="30"/>
      <c r="Z49" s="30"/>
      <c r="AA49" s="30"/>
      <c r="AB49" s="10"/>
    </row>
    <row r="50" spans="1:28" x14ac:dyDescent="0.25">
      <c r="A50" s="4" t="str">
        <f>"@N0_9_"&amp;E36&amp;" == (GRN C0 S'grin"&amp;E36&amp;"' W2)"</f>
        <v>@N0_9_1 == (GRN C0 S'grin1' W2)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>
        <f>43*$B$24/51</f>
        <v>5.9019607843137258</v>
      </c>
      <c r="V50" s="11">
        <f t="shared" si="5"/>
        <v>0.28970551388378812</v>
      </c>
      <c r="W50" s="30"/>
      <c r="X50" s="30"/>
      <c r="Y50" s="30"/>
      <c r="Z50" s="30"/>
      <c r="AA50" s="30"/>
      <c r="AB50" s="10"/>
    </row>
    <row r="51" spans="1:28" x14ac:dyDescent="0.25">
      <c r="A51" s="4" t="str">
        <f>"@N0_8_"&amp;E36&amp;" == (GRN C0 S'grin"&amp;E36&amp;"' W3)"</f>
        <v>@N0_8_1 == (GRN C0 S'grin1' W3)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>
        <f>44*$B$24/51</f>
        <v>6.0392156862745097</v>
      </c>
      <c r="V51" s="11">
        <f t="shared" si="5"/>
        <v>0.28688501513943976</v>
      </c>
      <c r="W51" s="30"/>
      <c r="X51" s="30"/>
      <c r="Y51" s="30"/>
      <c r="Z51" s="30"/>
      <c r="AA51" s="30"/>
      <c r="AB51" s="10"/>
    </row>
    <row r="52" spans="1:28" x14ac:dyDescent="0.25">
      <c r="A52" s="53" t="str">
        <f>IF(G1=0,"","@N0_7_"&amp;E36&amp;" == (GRN C0 S'grin"&amp;E36&amp;"' W4)")</f>
        <v/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>
        <f>45*$B$24/51</f>
        <v>6.1764705882352944</v>
      </c>
      <c r="V52" s="11">
        <f t="shared" si="5"/>
        <v>0.28406451639509134</v>
      </c>
      <c r="W52" s="30"/>
      <c r="X52" s="30"/>
      <c r="Y52" s="30"/>
      <c r="Z52" s="30"/>
      <c r="AA52" s="30"/>
      <c r="AB52" s="10"/>
    </row>
    <row r="53" spans="1:28" x14ac:dyDescent="0.25">
      <c r="A53" s="53" t="str">
        <f>IF(H1=0,"","@N0_6_"&amp;E36&amp;" == (GRN C0 S'grin"&amp;E36&amp;"' W5)")</f>
        <v/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>
        <f>46*$B$24/51</f>
        <v>6.3137254901960782</v>
      </c>
      <c r="V53" s="11">
        <f t="shared" si="5"/>
        <v>0.28124401765074292</v>
      </c>
      <c r="W53" s="30"/>
      <c r="X53" s="30"/>
      <c r="Y53" s="30"/>
      <c r="Z53" s="30"/>
      <c r="AA53" s="30"/>
      <c r="AB53" s="10"/>
    </row>
    <row r="54" spans="1:28" x14ac:dyDescent="0.25">
      <c r="A54" s="53" t="str">
        <f>IF(I1=0,"","@N0_5_"&amp;E36&amp;" == (GRN C0 S'grin"&amp;E36&amp;"' W6)")</f>
        <v/>
      </c>
      <c r="B54" s="3"/>
      <c r="C54" s="3"/>
      <c r="D54" s="3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>
        <f>47*$B$24/51</f>
        <v>6.4509803921568629</v>
      </c>
      <c r="V54" s="11">
        <f t="shared" si="5"/>
        <v>0.27842351890639444</v>
      </c>
      <c r="W54" s="30"/>
      <c r="X54" s="30"/>
      <c r="Y54" s="30"/>
      <c r="Z54" s="30"/>
      <c r="AA54" s="30"/>
      <c r="AB54" s="10"/>
    </row>
    <row r="55" spans="1:28" x14ac:dyDescent="0.25">
      <c r="A55" s="53" t="str">
        <f>IF(J1=0,"","@N0_4_"&amp;E36&amp;" == (GRN C0 S'grin"&amp;E36&amp;"' W7)")</f>
        <v/>
      </c>
      <c r="B55" s="3"/>
      <c r="C55" s="3"/>
      <c r="D55" s="3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>
        <f>48*$B$24/51</f>
        <v>6.5882352941176467</v>
      </c>
      <c r="V55" s="11">
        <f t="shared" si="5"/>
        <v>0.27560302016204602</v>
      </c>
      <c r="W55" s="30"/>
      <c r="X55" s="30"/>
      <c r="Y55" s="30"/>
      <c r="Z55" s="30"/>
      <c r="AA55" s="30"/>
      <c r="AB55" s="10"/>
    </row>
    <row r="56" spans="1:28" x14ac:dyDescent="0.25">
      <c r="A56" s="53" t="str">
        <f>IF(K1=0,"","@N0_3_"&amp;E36&amp;" == (GRN C0 S'grin"&amp;E36&amp;"' W8)")</f>
        <v/>
      </c>
      <c r="B56" s="3"/>
      <c r="C56" s="3"/>
      <c r="D56" s="3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>
        <f>49*$B$24/51</f>
        <v>6.7254901960784315</v>
      </c>
      <c r="V56" s="11">
        <f t="shared" si="5"/>
        <v>0.2727825214176976</v>
      </c>
      <c r="W56" s="30"/>
      <c r="X56" s="30"/>
      <c r="Y56" s="30"/>
      <c r="Z56" s="30"/>
      <c r="AA56" s="30"/>
      <c r="AB56" s="10"/>
    </row>
    <row r="57" spans="1:28" x14ac:dyDescent="0.25">
      <c r="A57" s="53" t="str">
        <f>IF(L1=0,"","@N0_2_"&amp;E36&amp;" == (GRN C0 S'grin"&amp;E36&amp;"' W9)")</f>
        <v/>
      </c>
      <c r="B57" s="3"/>
      <c r="C57" s="3"/>
      <c r="D57" s="3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>
        <f>50*$B$24/51</f>
        <v>6.8627450980392153</v>
      </c>
      <c r="V57" s="11">
        <f t="shared" si="5"/>
        <v>0.26996202267334918</v>
      </c>
      <c r="W57" s="30"/>
      <c r="X57" s="30"/>
      <c r="Y57" s="30"/>
      <c r="Z57" s="30"/>
      <c r="AA57" s="30"/>
      <c r="AB57" s="10"/>
    </row>
    <row r="58" spans="1:28" x14ac:dyDescent="0.25">
      <c r="A58" s="53" t="str">
        <f>IF(M1=0,"","@N0_1_"&amp;E36&amp;" == (GRN C0 S'grin"&amp;E36&amp;"' W10)")</f>
        <v/>
      </c>
      <c r="B58" s="3"/>
      <c r="C58" s="3"/>
      <c r="D58" s="3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>
        <f>51*$B$24/51</f>
        <v>7</v>
      </c>
      <c r="V58" s="11">
        <f t="shared" si="5"/>
        <v>0.26714152392900076</v>
      </c>
      <c r="W58" s="30"/>
      <c r="X58" s="30"/>
      <c r="Y58" s="30"/>
      <c r="Z58" s="30"/>
      <c r="AA58" s="30"/>
      <c r="AB58" s="10"/>
    </row>
    <row r="59" spans="1:28" x14ac:dyDescent="0.25">
      <c r="A59" s="53" t="str">
        <f>"@N10_10_"&amp;E36&amp;" == (GRN C1 S'grin"&amp;E36&amp;"' W1)"</f>
        <v>@N10_10_1 == (GRN C1 S'grin1' W1)</v>
      </c>
      <c r="B59" s="3"/>
      <c r="C59" s="3"/>
      <c r="D59" s="3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10"/>
    </row>
    <row r="60" spans="1:28" x14ac:dyDescent="0.25">
      <c r="A60" s="53" t="str">
        <f>"@N10_9_"&amp;E36&amp;" == (GRN C1 S'grin"&amp;E36&amp;"' W2)"</f>
        <v>@N10_9_1 == (GRN C1 S'grin1' W2)</v>
      </c>
      <c r="B60" s="3"/>
      <c r="C60" s="3"/>
      <c r="D60" s="3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10"/>
    </row>
    <row r="61" spans="1:28" x14ac:dyDescent="0.25">
      <c r="A61" s="53" t="str">
        <f>"@N10_8_"&amp;E36&amp;" == (GRN C1 S'grin"&amp;E36&amp;"' W3)"</f>
        <v>@N10_8_1 == (GRN C1 S'grin1' W3)</v>
      </c>
      <c r="B61" s="3"/>
      <c r="C61" s="3"/>
      <c r="D61" s="3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10"/>
    </row>
    <row r="62" spans="1:28" x14ac:dyDescent="0.25">
      <c r="A62" s="53" t="str">
        <f>IF(G1=0,"","@N10_7_"&amp;E36&amp;" == (GRN C1 S'grin"&amp;E36&amp;"' W4)")</f>
        <v/>
      </c>
      <c r="B62" s="3"/>
      <c r="C62" s="3"/>
      <c r="D62" s="3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10"/>
    </row>
    <row r="63" spans="1:28" x14ac:dyDescent="0.25">
      <c r="A63" s="53" t="str">
        <f>IF(H1=0,"","@N10_6_"&amp;E36&amp;" == (GRN C1 S'grin"&amp;E36&amp;"' W5)")</f>
        <v/>
      </c>
      <c r="B63" s="3"/>
      <c r="C63" s="3"/>
      <c r="D63" s="3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10"/>
    </row>
    <row r="64" spans="1:28" x14ac:dyDescent="0.25">
      <c r="A64" s="53" t="str">
        <f>IF(I1=0,"","@N10_5_"&amp;E36&amp;" == (GRN C1 S'grin"&amp;E36&amp;"' W6)")</f>
        <v/>
      </c>
      <c r="B64" s="3"/>
      <c r="C64" s="3"/>
      <c r="D64" s="3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10"/>
    </row>
    <row r="65" spans="1:28" x14ac:dyDescent="0.25">
      <c r="A65" s="53" t="str">
        <f>IF(J1=0,"","@N10_4_"&amp;E36&amp;" == (GRN C1 S'grin"&amp;E36&amp;"' W7)")</f>
        <v/>
      </c>
      <c r="B65" s="3"/>
      <c r="C65" s="3"/>
      <c r="D65" s="3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10"/>
    </row>
    <row r="66" spans="1:28" x14ac:dyDescent="0.25">
      <c r="A66" s="53" t="str">
        <f>IF(K1=0,"","@N10_3_"&amp;E36&amp;" == (GRN C1 S'grin"&amp;E36&amp;"' W8)")</f>
        <v/>
      </c>
      <c r="B66" s="3"/>
      <c r="C66" s="3"/>
      <c r="D66" s="3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10"/>
    </row>
    <row r="67" spans="1:28" x14ac:dyDescent="0.25">
      <c r="A67" s="53" t="str">
        <f>IF(L1=0,"","@N10_2_"&amp;E36&amp;" == (GRN C1 S'grin"&amp;E36&amp;"' W9)")</f>
        <v/>
      </c>
      <c r="B67" s="3"/>
      <c r="C67" s="3"/>
      <c r="D67" s="3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10"/>
    </row>
    <row r="68" spans="1:28" x14ac:dyDescent="0.25">
      <c r="A68" s="53" t="str">
        <f>IF(M1=0,"","@N10_1_"&amp;E36&amp;" == (GRN C1 S'grin"&amp;E36&amp;"' W10)")</f>
        <v/>
      </c>
      <c r="B68" s="3"/>
      <c r="C68" s="3"/>
      <c r="D68" s="3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10"/>
    </row>
    <row r="69" spans="1:28" x14ac:dyDescent="0.25">
      <c r="A69" s="53" t="str">
        <f>"@N20_10_"&amp;E36&amp;" == (GRN C2 S'grin"&amp;E36&amp;"' W1)"</f>
        <v>@N20_10_1 == (GRN C2 S'grin1' W1)</v>
      </c>
      <c r="B69" s="3"/>
      <c r="C69" s="3"/>
      <c r="D69" s="3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10"/>
    </row>
    <row r="70" spans="1:28" x14ac:dyDescent="0.25">
      <c r="A70" s="53" t="str">
        <f>"@N20_9_"&amp;E36&amp;" == (GRN C2 S'grin"&amp;E36&amp;"' W2)"</f>
        <v>@N20_9_1 == (GRN C2 S'grin1' W2)</v>
      </c>
      <c r="B70" s="3"/>
      <c r="C70" s="3"/>
      <c r="D70" s="3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10"/>
    </row>
    <row r="71" spans="1:28" x14ac:dyDescent="0.25">
      <c r="A71" s="53" t="str">
        <f>"@N20_8_"&amp;E36&amp;" == (GRN C2 S'grin"&amp;E36&amp;"' W3)"</f>
        <v>@N20_8_1 == (GRN C2 S'grin1' W3)</v>
      </c>
      <c r="B71" s="3"/>
      <c r="C71" s="3"/>
      <c r="D71" s="3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10"/>
    </row>
    <row r="72" spans="1:28" x14ac:dyDescent="0.25">
      <c r="A72" s="53" t="str">
        <f>IF(G1=0,"","@N20_7_"&amp;E36&amp;" == (GRN C2 S'grin"&amp;E36&amp;"' W4)")</f>
        <v/>
      </c>
      <c r="B72" s="3"/>
      <c r="C72" s="3"/>
      <c r="D72" s="3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10"/>
    </row>
    <row r="73" spans="1:28" x14ac:dyDescent="0.25">
      <c r="A73" s="53" t="str">
        <f>IF(H1=0,"","@N20_6_"&amp;E36&amp;" == (GRN C2 S'grin"&amp;E36&amp;"' W5)")</f>
        <v/>
      </c>
      <c r="B73" s="3"/>
      <c r="C73" s="3"/>
      <c r="D73" s="3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10"/>
    </row>
    <row r="74" spans="1:28" x14ac:dyDescent="0.25">
      <c r="A74" s="53" t="str">
        <f>IF(I1=0,"","@N20_5_"&amp;E36&amp;" == (GRN C2 S'grin"&amp;E36&amp;"' W6)")</f>
        <v/>
      </c>
      <c r="B74" s="3"/>
      <c r="C74" s="3"/>
      <c r="D74" s="3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10"/>
    </row>
    <row r="75" spans="1:28" x14ac:dyDescent="0.25">
      <c r="A75" s="53" t="str">
        <f>IF(J1=0,"","@N20_4_"&amp;E36&amp;" == (GRN C2 S'grin"&amp;E36&amp;"' W7)")</f>
        <v/>
      </c>
      <c r="B75" s="3"/>
      <c r="C75" s="3"/>
      <c r="D75" s="3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10"/>
    </row>
    <row r="76" spans="1:28" x14ac:dyDescent="0.25">
      <c r="A76" s="53" t="str">
        <f>IF(K1=0,"","@N20_3_"&amp;E36&amp;" == (GRN C2 S'grin"&amp;E36&amp;"' W8)")</f>
        <v/>
      </c>
      <c r="B76" s="3"/>
      <c r="C76" s="3"/>
      <c r="D76" s="3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10"/>
    </row>
    <row r="77" spans="1:28" x14ac:dyDescent="0.25">
      <c r="A77" s="53" t="str">
        <f>IF(L1=0,"","@N20_2_"&amp;E36&amp;" == (GRN C2 S'grin"&amp;E36&amp;"' W9)")</f>
        <v/>
      </c>
      <c r="B77" s="3"/>
      <c r="C77" s="3"/>
      <c r="D77" s="3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10"/>
    </row>
    <row r="78" spans="1:28" x14ac:dyDescent="0.25">
      <c r="A78" s="53" t="str">
        <f>IF(M1=0,"","@N20_1_"&amp;E36&amp;" == (GRN C2 S'grin"&amp;E36&amp;"' W10)")</f>
        <v/>
      </c>
      <c r="B78" s="3"/>
      <c r="C78" s="3"/>
      <c r="D78" s="3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10"/>
    </row>
    <row r="79" spans="1:28" x14ac:dyDescent="0.25">
      <c r="A79" s="53" t="str">
        <f>"@N30_10_"&amp;E36&amp;" == (GRN C3 S'grin"&amp;E36&amp;"' W1)"</f>
        <v>@N30_10_1 == (GRN C3 S'grin1' W1)</v>
      </c>
      <c r="B79" s="3"/>
      <c r="C79" s="3"/>
      <c r="D79" s="3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10"/>
    </row>
    <row r="80" spans="1:28" x14ac:dyDescent="0.25">
      <c r="A80" s="53" t="str">
        <f>"@N30_9_"&amp;E36&amp;" == (GRN C3 S'grin"&amp;E36&amp;"' W2)"</f>
        <v>@N30_9_1 == (GRN C3 S'grin1' W2)</v>
      </c>
      <c r="B80" s="3"/>
      <c r="C80" s="3"/>
      <c r="D80" s="3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10"/>
    </row>
    <row r="81" spans="1:28" x14ac:dyDescent="0.25">
      <c r="A81" s="53" t="str">
        <f>"@N30_8_"&amp;E36&amp;" == (GRN C3 S'grin"&amp;E36&amp;"' W3)"</f>
        <v>@N30_8_1 == (GRN C3 S'grin1' W3)</v>
      </c>
      <c r="B81" s="3"/>
      <c r="C81" s="3"/>
      <c r="D81" s="3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10"/>
    </row>
    <row r="82" spans="1:28" x14ac:dyDescent="0.25">
      <c r="A82" s="53" t="str">
        <f>IF(G1=0,"","@N30_7_"&amp;E36&amp;" == (GRN C3 S'grin"&amp;E36&amp;"' W4)")</f>
        <v/>
      </c>
      <c r="B82" s="3"/>
      <c r="C82" s="3"/>
      <c r="D82" s="3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10"/>
    </row>
    <row r="83" spans="1:28" x14ac:dyDescent="0.25">
      <c r="A83" s="53" t="str">
        <f>IF(H1=0,"","@N30_6_"&amp;E36&amp;" == (GRN C3 S'grin"&amp;E36&amp;"' W5)")</f>
        <v/>
      </c>
      <c r="B83" s="3"/>
      <c r="C83" s="3"/>
      <c r="D83" s="3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</row>
    <row r="84" spans="1:28" x14ac:dyDescent="0.25">
      <c r="A84" s="53" t="str">
        <f>IF(I1=0,"","@N30_5_"&amp;E36&amp;" == (GRN C3 S'grin"&amp;E36&amp;"' W6)")</f>
        <v/>
      </c>
      <c r="B84" s="3"/>
      <c r="C84" s="3"/>
      <c r="D84" s="3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</row>
    <row r="85" spans="1:28" x14ac:dyDescent="0.25">
      <c r="A85" s="53" t="str">
        <f>IF(J1=0,"","@N30_4_"&amp;E36&amp;" == (GRN C3 S'grin"&amp;E36&amp;"' W7)")</f>
        <v/>
      </c>
      <c r="B85" s="3"/>
      <c r="C85" s="3"/>
      <c r="D85" s="3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</row>
    <row r="86" spans="1:28" x14ac:dyDescent="0.25">
      <c r="A86" s="53" t="str">
        <f>IF(K1=0,"","@N30_3_"&amp;E36&amp;" == (GRN C3 S'grin"&amp;E36&amp;"' W8)")</f>
        <v/>
      </c>
      <c r="B86" s="3"/>
      <c r="C86" s="3"/>
      <c r="D86" s="3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</row>
    <row r="87" spans="1:28" x14ac:dyDescent="0.25">
      <c r="A87" s="53" t="str">
        <f>IF(L1=0,"","@N30_2_"&amp;E36&amp;" == (GRN C3 S'grin"&amp;E36&amp;"' W9)")</f>
        <v/>
      </c>
      <c r="B87" s="3"/>
      <c r="C87" s="3"/>
      <c r="D87" s="3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</row>
    <row r="88" spans="1:28" x14ac:dyDescent="0.25">
      <c r="A88" s="53" t="str">
        <f>IF(M1=0,"","@N30_1_"&amp;E36&amp;" == (GRN C3 S'grin"&amp;E36&amp;"' W10)")</f>
        <v/>
      </c>
      <c r="B88" s="3"/>
      <c r="C88" s="3"/>
      <c r="D88" s="3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</row>
    <row r="89" spans="1:28" x14ac:dyDescent="0.25">
      <c r="A89" s="53" t="str">
        <f>"@N40_10_"&amp;E36&amp;" == (GRN C4 S'grin"&amp;E36&amp;"' W1)"</f>
        <v>@N40_10_1 == (GRN C4 S'grin1' W1)</v>
      </c>
      <c r="B89" s="3"/>
      <c r="C89" s="3"/>
      <c r="D89" s="3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</row>
    <row r="90" spans="1:28" x14ac:dyDescent="0.25">
      <c r="A90" s="53" t="str">
        <f>"@N40_9_"&amp;E36&amp;" == (GRN C4 S'grin"&amp;E36&amp;"' W2)"</f>
        <v>@N40_9_1 == (GRN C4 S'grin1' W2)</v>
      </c>
      <c r="B90" s="3"/>
      <c r="C90" s="3"/>
      <c r="D90" s="3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</row>
    <row r="91" spans="1:28" x14ac:dyDescent="0.25">
      <c r="A91" s="53" t="str">
        <f>"@N40_8_"&amp;E36&amp;" == (GRN C4 S'grin"&amp;E36&amp;"' W3)"</f>
        <v>@N40_8_1 == (GRN C4 S'grin1' W3)</v>
      </c>
      <c r="B91" s="3"/>
      <c r="C91" s="3"/>
      <c r="D91" s="3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</row>
    <row r="92" spans="1:28" x14ac:dyDescent="0.25">
      <c r="A92" s="53" t="str">
        <f>IF(G1=0,"","@N40_7_"&amp;E36&amp;" == (GRN C4 S'grin"&amp;E36&amp;"' W4)")</f>
        <v/>
      </c>
      <c r="B92" s="3"/>
      <c r="C92" s="3"/>
      <c r="D92" s="3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</row>
    <row r="93" spans="1:28" x14ac:dyDescent="0.25">
      <c r="A93" s="53" t="str">
        <f>IF(H1=0,"","@N40_6_"&amp;E36&amp;" == (GRN C4 S'grin"&amp;E36&amp;"' W5)")</f>
        <v/>
      </c>
      <c r="B93" s="3"/>
      <c r="C93" s="3"/>
      <c r="D93" s="3"/>
      <c r="E93" s="3"/>
      <c r="F93" s="3"/>
      <c r="G93" s="3"/>
      <c r="H93" s="3"/>
      <c r="I93" s="3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</row>
    <row r="94" spans="1:28" x14ac:dyDescent="0.25">
      <c r="A94" s="53" t="str">
        <f>IF(I1=0,"","@N40_5_"&amp;E36&amp;" == (GRN C4 S'grin"&amp;E36&amp;"' W6)")</f>
        <v/>
      </c>
      <c r="B94" s="3"/>
      <c r="C94" s="3"/>
      <c r="D94" s="3"/>
      <c r="E94" s="3"/>
      <c r="F94" s="3"/>
      <c r="G94" s="3"/>
      <c r="H94" s="3"/>
      <c r="I94" s="3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</row>
    <row r="95" spans="1:28" x14ac:dyDescent="0.25">
      <c r="A95" s="53" t="str">
        <f>IF(J1=0,"","@N40_4_"&amp;E36&amp;" == (GRN C4 S'grin"&amp;E36&amp;"' W7)")</f>
        <v/>
      </c>
      <c r="B95" s="3"/>
      <c r="C95" s="3"/>
      <c r="D95" s="3"/>
      <c r="E95" s="3"/>
      <c r="F95" s="3"/>
      <c r="G95" s="3"/>
      <c r="H95" s="3"/>
      <c r="I95" s="3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</row>
    <row r="96" spans="1:28" x14ac:dyDescent="0.25">
      <c r="A96" s="53" t="str">
        <f>IF(K1=0,"","@N40_3_"&amp;E36&amp;" == (GRN C4 S'grin"&amp;E36&amp;"' W8)")</f>
        <v/>
      </c>
      <c r="B96" s="3"/>
      <c r="C96" s="3"/>
      <c r="D96" s="3"/>
      <c r="E96" s="3"/>
      <c r="F96" s="3"/>
      <c r="G96" s="3"/>
      <c r="H96" s="3"/>
      <c r="I96" s="3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</row>
    <row r="97" spans="1:28" x14ac:dyDescent="0.25">
      <c r="A97" s="53" t="str">
        <f>IF(L1=0,"","@N40_2_"&amp;E36&amp;" == (GRN C4 S'grin"&amp;E36&amp;"' W9)")</f>
        <v/>
      </c>
      <c r="B97" s="3"/>
      <c r="C97" s="3"/>
      <c r="D97" s="3"/>
      <c r="E97" s="3"/>
      <c r="F97" s="3"/>
      <c r="G97" s="3"/>
      <c r="H97" s="3"/>
      <c r="I97" s="3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</row>
    <row r="98" spans="1:28" x14ac:dyDescent="0.25">
      <c r="A98" s="53" t="str">
        <f>IF(M1=0,"","@N40_1_"&amp;E36&amp;" == (GRN C4 S'grin"&amp;E36&amp;"' W10)")</f>
        <v/>
      </c>
      <c r="B98" s="3"/>
      <c r="C98" s="3"/>
      <c r="D98" s="3"/>
      <c r="E98" s="3"/>
      <c r="F98" s="3"/>
      <c r="G98" s="3"/>
      <c r="H98" s="3"/>
      <c r="I98" s="3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</row>
    <row r="99" spans="1:28" x14ac:dyDescent="0.25">
      <c r="A99" s="53" t="str">
        <f>"@rmax_"&amp;E36&amp;" == MAXF((MAP s'grin"&amp;E36&amp;"'),(MAP s'grin"&amp;E36&amp;"'+1))"</f>
        <v>@rmax_1 == MAXF((MAP s'grin1'),(MAP s'grin1'+1))</v>
      </c>
      <c r="B99" s="3"/>
      <c r="C99" s="3"/>
      <c r="D99" s="3"/>
      <c r="E99" s="3"/>
      <c r="F99" s="3"/>
      <c r="G99" s="3"/>
      <c r="H99" s="3"/>
      <c r="I99" s="3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</row>
    <row r="100" spans="1:28" x14ac:dyDescent="0.25">
      <c r="A100" s="53" t="str">
        <f>"@Tmax_"&amp;E36&amp;" == (CT s'grin"&amp;E36&amp;"')"</f>
        <v>@Tmax_1 == (CT s'grin1')</v>
      </c>
      <c r="B100" s="3"/>
      <c r="C100" s="3"/>
      <c r="D100" s="3"/>
      <c r="E100" s="3"/>
      <c r="F100" s="3"/>
      <c r="G100" s="3"/>
      <c r="H100" s="3"/>
      <c r="I100" s="3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</row>
    <row r="101" spans="1:28" x14ac:dyDescent="0.25">
      <c r="A101" s="53"/>
      <c r="B101" s="3"/>
      <c r="C101" s="3"/>
      <c r="D101" s="3"/>
      <c r="E101" s="3"/>
      <c r="F101" s="3"/>
      <c r="G101" s="3"/>
      <c r="H101" s="3"/>
      <c r="I101" s="3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</row>
    <row r="102" spans="1:28" x14ac:dyDescent="0.25">
      <c r="A102" s="53" t="str">
        <f>"! Define gradient coefficient difference compared to reference wavelength for all wavelengths"</f>
        <v>! Define gradient coefficient difference compared to reference wavelength for all wavelengths</v>
      </c>
      <c r="B102" s="3"/>
      <c r="C102" s="3"/>
      <c r="D102" s="3"/>
      <c r="E102" s="3"/>
      <c r="F102" s="3"/>
      <c r="G102" s="3"/>
      <c r="H102" s="3"/>
      <c r="I102" s="3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</row>
    <row r="103" spans="1:28" x14ac:dyDescent="0.25">
      <c r="A103" s="53" t="str">
        <f>"@dN0_9_"&amp;E36&amp;" == "&amp;E2&amp;"*((@N0_10_"&amp;E36&amp;")-"&amp;D3&amp;")/"&amp;D2&amp;"+"&amp;E3&amp;"-(@N0_9_"&amp;E36&amp;")"</f>
        <v>@dN0_9_1 == 0.100331880617345*((@N0_10_1)-1.4879678621532)/0.0973266889310331+1.49143432223392-(@N0_9_1)</v>
      </c>
      <c r="B103" s="3"/>
      <c r="C103" s="3"/>
      <c r="D103" s="3"/>
      <c r="E103" s="3"/>
      <c r="F103" s="3"/>
      <c r="G103" s="3"/>
      <c r="H103" s="3"/>
      <c r="I103" s="3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</row>
    <row r="104" spans="1:28" x14ac:dyDescent="0.25">
      <c r="A104" s="53" t="str">
        <f>"@dN0_8_"&amp;E36&amp;" == "&amp;F2&amp;"*((@N0_10_"&amp;E36&amp;")-"&amp;D3&amp;")/"&amp;D2&amp;"+"&amp;F3&amp;"-(@N0_8_"&amp;E36&amp;")"</f>
        <v>@dN0_8_1 == 0.10831132388745*((@N0_10_1)-1.4879678621532)/0.0973266889310331+1.49730558428456-(@N0_8_1)</v>
      </c>
      <c r="B104" s="3"/>
      <c r="C104" s="3"/>
      <c r="D104" s="3"/>
      <c r="E104" s="3"/>
      <c r="F104" s="3"/>
      <c r="G104" s="3"/>
      <c r="H104" s="3"/>
      <c r="I104" s="3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</row>
    <row r="105" spans="1:28" x14ac:dyDescent="0.25">
      <c r="A105" s="53" t="str">
        <f>IF(G1=0,"","@dN0_7_"&amp;E36&amp;" == "&amp;G2&amp;"*((@N0_10_"&amp;E36&amp;")-"&amp;D3&amp;")/"&amp;D2&amp;"+"&amp;G3&amp;"-(@N0_7_"&amp;E36&amp;")")</f>
        <v/>
      </c>
      <c r="B105" s="3"/>
      <c r="C105" s="3"/>
      <c r="D105" s="3"/>
      <c r="E105" s="3"/>
      <c r="F105" s="3"/>
      <c r="G105" s="3"/>
      <c r="H105" s="3"/>
      <c r="I105" s="3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</row>
    <row r="106" spans="1:28" x14ac:dyDescent="0.25">
      <c r="A106" s="53" t="str">
        <f>IF(H1=0,"","@dN0_6_"&amp;E36&amp;" == "&amp;H2&amp;"*((@N0_10_"&amp;E36&amp;")-"&amp;D3&amp;")/"&amp;D2&amp;"+"&amp;H3&amp;"-(@N0_6_"&amp;E36&amp;")")</f>
        <v/>
      </c>
      <c r="B106" s="3"/>
      <c r="C106" s="3"/>
      <c r="D106" s="3"/>
      <c r="E106" s="3"/>
      <c r="F106" s="3"/>
      <c r="G106" s="3"/>
      <c r="H106" s="3"/>
      <c r="I106" s="3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</row>
    <row r="107" spans="1:28" x14ac:dyDescent="0.25">
      <c r="A107" s="53" t="str">
        <f>IF(I1=0,"","@dN0_5_"&amp;E36&amp;" == "&amp;I2&amp;"*((@N0_10_"&amp;E36&amp;")-"&amp;D3&amp;")/"&amp;D2&amp;"+"&amp;I3&amp;"-(@N0_5_"&amp;E36&amp;")")</f>
        <v/>
      </c>
      <c r="B107" s="3"/>
      <c r="C107" s="3"/>
      <c r="D107" s="3"/>
      <c r="E107" s="3"/>
      <c r="F107" s="3"/>
      <c r="G107" s="3"/>
      <c r="H107" s="3"/>
      <c r="I107" s="3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</row>
    <row r="108" spans="1:28" x14ac:dyDescent="0.25">
      <c r="A108" s="53" t="str">
        <f>IF(J1=0,"","@dN0_4_"&amp;E36&amp;" == "&amp;J2&amp;"*((@N0_10_"&amp;E36&amp;")-"&amp;D3&amp;")/"&amp;D2&amp;"+"&amp;J3&amp;"-(@N0_4_"&amp;E36&amp;")")</f>
        <v/>
      </c>
      <c r="B108" s="3"/>
      <c r="C108" s="3"/>
      <c r="D108" s="3"/>
      <c r="E108" s="3"/>
      <c r="F108" s="3"/>
      <c r="G108" s="3"/>
      <c r="H108" s="3"/>
      <c r="I108" s="3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</row>
    <row r="109" spans="1:28" x14ac:dyDescent="0.25">
      <c r="A109" s="53" t="str">
        <f>IF(K1=0,"","@dN0_3_"&amp;E36&amp;" == "&amp;K2&amp;"*((@N0_10_"&amp;E36&amp;")-"&amp;D3&amp;")/"&amp;D2&amp;"+"&amp;K3&amp;"-(@N0_3_"&amp;E36&amp;")")</f>
        <v/>
      </c>
      <c r="B109" s="3"/>
      <c r="C109" s="3"/>
      <c r="D109" s="3"/>
      <c r="E109" s="3"/>
      <c r="F109" s="3"/>
      <c r="G109" s="3"/>
      <c r="H109" s="3"/>
      <c r="I109" s="3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</row>
    <row r="110" spans="1:28" x14ac:dyDescent="0.25">
      <c r="A110" s="53" t="str">
        <f>IF(L1=0,"","@dN0_2_"&amp;E36&amp;" == "&amp;L2&amp;"*((@N0_10_"&amp;E36&amp;")-"&amp;D3&amp;")/"&amp;D2&amp;"+"&amp;L3&amp;"-(@N0_2_"&amp;E36&amp;")")</f>
        <v/>
      </c>
      <c r="B110" s="3"/>
      <c r="C110" s="3"/>
      <c r="D110" s="3"/>
      <c r="E110" s="3"/>
      <c r="F110" s="3"/>
      <c r="G110" s="3"/>
      <c r="H110" s="3"/>
      <c r="I110" s="3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</row>
    <row r="111" spans="1:28" x14ac:dyDescent="0.25">
      <c r="A111" s="53" t="str">
        <f>IF(M1=0,"","@dN0_1_"&amp;E36&amp;" == "&amp;M2&amp;"*((@N0_10_"&amp;E36&amp;")-"&amp;D3&amp;")/"&amp;D2&amp;"+"&amp;M3&amp;"-(@N0_1_"&amp;E36&amp;")")</f>
        <v/>
      </c>
      <c r="B111" s="3"/>
      <c r="C111" s="3"/>
      <c r="D111" s="3"/>
      <c r="E111" s="3"/>
      <c r="F111" s="3"/>
      <c r="G111" s="3"/>
      <c r="H111" s="3"/>
      <c r="I111" s="3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</row>
    <row r="112" spans="1:28" x14ac:dyDescent="0.25">
      <c r="A112" s="53" t="str">
        <f>"@dN10_9_"&amp;E36&amp;" == ("&amp;E2&amp;"*((@N10_10_"&amp;E36&amp;"))/"&amp;D2&amp;"-(@N10_9_"&amp;E36&amp;"))*(@rmax_"&amp;E36&amp;")**1"</f>
        <v>@dN10_9_1 == (0.100331880617345*((@N10_10_1))/0.0973266889310331-(@N10_9_1))*(@rmax_1)**1</v>
      </c>
      <c r="B112" s="3"/>
      <c r="C112" s="3"/>
      <c r="D112" s="3"/>
      <c r="E112" s="3"/>
      <c r="F112" s="3"/>
      <c r="G112" s="3"/>
      <c r="H112" s="3"/>
      <c r="I112" s="3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</row>
    <row r="113" spans="1:28" x14ac:dyDescent="0.25">
      <c r="A113" s="53" t="str">
        <f>"@dN10_8_"&amp;E36&amp;" == ("&amp;F2&amp;"*((@N10_10_"&amp;E36&amp;"))/"&amp;D2&amp;"-(@N10_8_"&amp;E36&amp;"))*(@rmax_"&amp;E36&amp;")**1"</f>
        <v>@dN10_8_1 == (0.10831132388745*((@N10_10_1))/0.0973266889310331-(@N10_8_1))*(@rmax_1)**1</v>
      </c>
      <c r="B113" s="3"/>
      <c r="C113" s="3"/>
      <c r="D113" s="3"/>
      <c r="E113" s="3"/>
      <c r="F113" s="3"/>
      <c r="G113" s="3"/>
      <c r="H113" s="3"/>
      <c r="I113" s="3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</row>
    <row r="114" spans="1:28" x14ac:dyDescent="0.25">
      <c r="A114" s="53" t="str">
        <f>IF(G1=0,"","@dN10_7_"&amp;E36&amp;" == ("&amp;G2&amp;"*((@N10_10_"&amp;E36&amp;"))/"&amp;D2&amp;"-(@N10_7_"&amp;E36&amp;"))*(@rmax_"&amp;E36&amp;")**1")</f>
        <v/>
      </c>
      <c r="B114" s="3"/>
      <c r="C114" s="3"/>
      <c r="D114" s="3"/>
      <c r="E114" s="3"/>
      <c r="F114" s="3"/>
      <c r="G114" s="3"/>
      <c r="H114" s="3"/>
      <c r="I114" s="3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</row>
    <row r="115" spans="1:28" x14ac:dyDescent="0.25">
      <c r="A115" s="53" t="str">
        <f>IF(H1=0,"","@dN10_6_"&amp;E36&amp;" == ("&amp;H2&amp;"*((@N10_10_"&amp;E36&amp;"))/"&amp;D2&amp;"-(@N10_6_"&amp;E36&amp;"))*(@rmax_"&amp;E36&amp;")**1")</f>
        <v/>
      </c>
      <c r="B115" s="3"/>
      <c r="C115" s="3"/>
      <c r="D115" s="3"/>
      <c r="E115" s="3"/>
      <c r="F115" s="3"/>
      <c r="G115" s="3"/>
      <c r="H115" s="3"/>
      <c r="I115" s="3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</row>
    <row r="116" spans="1:28" x14ac:dyDescent="0.25">
      <c r="A116" s="53" t="str">
        <f>IF(I1=0,"","@dN10_5_"&amp;E36&amp;" == ("&amp;I2&amp;"*((@N10_10_"&amp;E36&amp;"))/"&amp;D2&amp;"-(@N10_5_"&amp;E36&amp;"))*(@rmax_"&amp;E36&amp;")**1")</f>
        <v/>
      </c>
      <c r="B116" s="3"/>
      <c r="C116" s="3"/>
      <c r="D116" s="3"/>
      <c r="E116" s="3"/>
      <c r="F116" s="3"/>
      <c r="G116" s="3"/>
      <c r="H116" s="3"/>
      <c r="I116" s="3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</row>
    <row r="117" spans="1:28" x14ac:dyDescent="0.25">
      <c r="A117" s="53" t="str">
        <f>IF(J1=0,"","@dN10_4_"&amp;E36&amp;" == ("&amp;J2&amp;"*((@N10_10_"&amp;E36&amp;"))/"&amp;D2&amp;"-(@N10_4_"&amp;E36&amp;"))*(@rmax_"&amp;E36&amp;")**1")</f>
        <v/>
      </c>
      <c r="B117" s="3"/>
      <c r="C117" s="3"/>
      <c r="D117" s="3"/>
      <c r="E117" s="3"/>
      <c r="F117" s="3"/>
      <c r="G117" s="3"/>
      <c r="H117" s="3"/>
      <c r="I117" s="3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</row>
    <row r="118" spans="1:28" x14ac:dyDescent="0.25">
      <c r="A118" s="53" t="str">
        <f>IF(K1=0,"","@dN10_3_"&amp;E36&amp;" == ("&amp;K2&amp;"*((@N10_10_"&amp;E36&amp;"))/"&amp;D2&amp;"-(@N10_3_"&amp;E36&amp;"))*(@rmax_"&amp;E36&amp;")**1")</f>
        <v/>
      </c>
      <c r="B118" s="3"/>
      <c r="C118" s="3"/>
      <c r="D118" s="3"/>
      <c r="E118" s="3"/>
      <c r="F118" s="3"/>
      <c r="G118" s="3"/>
      <c r="H118" s="3"/>
      <c r="I118" s="3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</row>
    <row r="119" spans="1:28" x14ac:dyDescent="0.25">
      <c r="A119" s="53" t="str">
        <f>IF(L1=0,"","@dN10_2_"&amp;E36&amp;" == ("&amp;L2&amp;"*((@N10_10_"&amp;E36&amp;"))/"&amp;D2&amp;"-(@N10_2_"&amp;E36&amp;"))*(@rmax_"&amp;E36&amp;")**1")</f>
        <v/>
      </c>
      <c r="B119" s="3"/>
      <c r="C119" s="3"/>
      <c r="D119" s="3"/>
      <c r="E119" s="3"/>
      <c r="F119" s="3"/>
      <c r="G119" s="3"/>
      <c r="H119" s="3"/>
      <c r="I119" s="3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</row>
    <row r="120" spans="1:28" x14ac:dyDescent="0.25">
      <c r="A120" s="53" t="str">
        <f>IF(M1=0,"","@dN10_1_"&amp;E36&amp;" == ("&amp;M2&amp;"*((@N10_10_"&amp;E36&amp;"))/"&amp;D2&amp;"-(@N10_1_"&amp;E36&amp;"))*(@rmax_"&amp;E36&amp;")**1")</f>
        <v/>
      </c>
      <c r="B120" s="3"/>
      <c r="C120" s="3"/>
      <c r="D120" s="3"/>
      <c r="E120" s="3"/>
      <c r="F120" s="3"/>
      <c r="G120" s="3"/>
      <c r="H120" s="3"/>
      <c r="I120" s="3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</row>
    <row r="121" spans="1:28" x14ac:dyDescent="0.25">
      <c r="A121" s="53" t="str">
        <f>"@dN20_9_"&amp;E36&amp;" == ("&amp;E2&amp;"*((@N20_10_"&amp;E36&amp;"))/"&amp;D2&amp;"-(@N20_9_"&amp;E36&amp;"))*(@rmax_"&amp;E36&amp;")**2"</f>
        <v>@dN20_9_1 == (0.100331880617345*((@N20_10_1))/0.0973266889310331-(@N20_9_1))*(@rmax_1)**2</v>
      </c>
      <c r="B121" s="3"/>
      <c r="C121" s="3"/>
      <c r="D121" s="3"/>
      <c r="E121" s="3"/>
      <c r="F121" s="3"/>
      <c r="G121" s="3"/>
      <c r="H121" s="3"/>
      <c r="I121" s="3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</row>
    <row r="122" spans="1:28" x14ac:dyDescent="0.25">
      <c r="A122" s="53" t="str">
        <f>"@dN20_8_"&amp;E36&amp;" == ("&amp;F2&amp;"*((@N20_10_"&amp;E36&amp;"))/"&amp;D2&amp;"-(@N20_8_"&amp;E36&amp;"))*(@rmax_"&amp;E36&amp;")**2"</f>
        <v>@dN20_8_1 == (0.10831132388745*((@N20_10_1))/0.0973266889310331-(@N20_8_1))*(@rmax_1)**2</v>
      </c>
      <c r="B122" s="3"/>
      <c r="C122" s="3"/>
      <c r="D122" s="3"/>
      <c r="E122" s="3"/>
      <c r="F122" s="3"/>
      <c r="G122" s="3"/>
      <c r="H122" s="3"/>
      <c r="I122" s="3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</row>
    <row r="123" spans="1:28" x14ac:dyDescent="0.25">
      <c r="A123" s="53" t="str">
        <f>IF(G1=0,"","@dN20_7_"&amp;E36&amp;" == ("&amp;G2&amp;"*((@N20_10_"&amp;E36&amp;"))/"&amp;D2&amp;"-(@N20_7_"&amp;E36&amp;"))*(@rmax_"&amp;E36&amp;")**2")</f>
        <v/>
      </c>
      <c r="B123" s="3"/>
      <c r="C123" s="3"/>
      <c r="D123" s="3"/>
      <c r="E123" s="3"/>
      <c r="F123" s="3"/>
      <c r="G123" s="3"/>
      <c r="H123" s="3"/>
      <c r="I123" s="3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</row>
    <row r="124" spans="1:28" x14ac:dyDescent="0.25">
      <c r="A124" s="53" t="str">
        <f>IF(H1=0,"","@dN20_6_"&amp;E36&amp;" == ("&amp;H2&amp;"*((@N20_10_"&amp;E36&amp;"))/"&amp;D2&amp;"-(@N20_6_"&amp;E36&amp;"))*(@rmax_"&amp;E36&amp;")**2")</f>
        <v/>
      </c>
      <c r="B124" s="3"/>
      <c r="C124" s="3"/>
      <c r="D124" s="3"/>
      <c r="E124" s="3"/>
      <c r="F124" s="3"/>
      <c r="G124" s="3"/>
      <c r="H124" s="3"/>
      <c r="I124" s="3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</row>
    <row r="125" spans="1:28" x14ac:dyDescent="0.25">
      <c r="A125" s="53" t="str">
        <f>IF(I1=0,"","@dN20_5_"&amp;E36&amp;" == ("&amp;I2&amp;"*((@N20_10_"&amp;E36&amp;"))/"&amp;D2&amp;"-(@N20_5_"&amp;E36&amp;"))*(@rmax_"&amp;E36&amp;")**2")</f>
        <v/>
      </c>
      <c r="B125" s="3"/>
      <c r="C125" s="3"/>
      <c r="D125" s="3"/>
      <c r="E125" s="3"/>
      <c r="F125" s="3"/>
      <c r="G125" s="3"/>
      <c r="H125" s="3"/>
      <c r="I125" s="3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</row>
    <row r="126" spans="1:28" x14ac:dyDescent="0.25">
      <c r="A126" s="53" t="str">
        <f>IF(J1=0,"","@dN20_4_"&amp;E36&amp;" == ("&amp;J2&amp;"*((@N20_10_"&amp;E36&amp;"))/"&amp;D2&amp;"-(@N20_4_"&amp;E36&amp;"))*(@rmax_"&amp;E36&amp;")**2")</f>
        <v/>
      </c>
      <c r="B126" s="3"/>
      <c r="C126" s="3"/>
      <c r="D126" s="3"/>
      <c r="E126" s="3"/>
      <c r="F126" s="3"/>
      <c r="G126" s="3"/>
      <c r="H126" s="3"/>
      <c r="I126" s="3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</row>
    <row r="127" spans="1:28" x14ac:dyDescent="0.25">
      <c r="A127" s="53" t="str">
        <f>IF(K1=0,"","@dN20_3_"&amp;E36&amp;" == ("&amp;K2&amp;"*((@N20_10_"&amp;E36&amp;"))/"&amp;D2&amp;"-(@N20_3_"&amp;E36&amp;"))*(@rmax_"&amp;E36&amp;")**2")</f>
        <v/>
      </c>
      <c r="B127" s="3"/>
      <c r="C127" s="3"/>
      <c r="D127" s="3"/>
      <c r="E127" s="3"/>
      <c r="F127" s="3"/>
      <c r="G127" s="3"/>
      <c r="H127" s="3"/>
      <c r="I127" s="3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</row>
    <row r="128" spans="1:28" x14ac:dyDescent="0.25">
      <c r="A128" s="53" t="str">
        <f>IF(L1=0,"","@dN20_2_"&amp;E36&amp;" == ("&amp;L2&amp;"*((@N20_10_"&amp;E36&amp;"))/"&amp;D2&amp;"-(@N20_2_"&amp;E36&amp;"))*(@rmax_"&amp;E36&amp;")**2")</f>
        <v/>
      </c>
      <c r="B128" s="3"/>
      <c r="C128" s="3"/>
      <c r="D128" s="3"/>
      <c r="E128" s="3"/>
      <c r="F128" s="3"/>
      <c r="G128" s="3"/>
      <c r="H128" s="3"/>
      <c r="I128" s="3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</row>
    <row r="129" spans="1:28" x14ac:dyDescent="0.25">
      <c r="A129" s="53" t="str">
        <f>IF(M1=0,"","@dN20_1_"&amp;E36&amp;" == ("&amp;M2&amp;"*((@N20_10_"&amp;E36&amp;"))/"&amp;D2&amp;"-(@N20_1_"&amp;E36&amp;"))*(@rmax_"&amp;E36&amp;")**2")</f>
        <v/>
      </c>
      <c r="B129" s="3"/>
      <c r="C129" s="3"/>
      <c r="D129" s="3"/>
      <c r="E129" s="3"/>
      <c r="F129" s="3"/>
      <c r="G129" s="3"/>
      <c r="H129" s="3"/>
      <c r="I129" s="3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</row>
    <row r="130" spans="1:28" x14ac:dyDescent="0.25">
      <c r="A130" s="53" t="str">
        <f>"@dN30_9_"&amp;E36&amp;" == ("&amp;E2&amp;"*((@N30_10_"&amp;E36&amp;"))/"&amp;D2&amp;"-(@N30_9_"&amp;E36&amp;"))*(@rmax_"&amp;E36&amp;")**3"</f>
        <v>@dN30_9_1 == (0.100331880617345*((@N30_10_1))/0.0973266889310331-(@N30_9_1))*(@rmax_1)**3</v>
      </c>
      <c r="B130" s="3"/>
      <c r="C130" s="3"/>
      <c r="D130" s="3"/>
      <c r="E130" s="3"/>
      <c r="F130" s="3"/>
      <c r="G130" s="3"/>
      <c r="H130" s="3"/>
      <c r="I130" s="3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</row>
    <row r="131" spans="1:28" x14ac:dyDescent="0.25">
      <c r="A131" s="53" t="str">
        <f>"@dN30_8_"&amp;E36&amp;" == ("&amp;F2&amp;"*((@N30_10_"&amp;E36&amp;"))/"&amp;D2&amp;"-(@N30_8_"&amp;E36&amp;"))*(@rmax_"&amp;E36&amp;")**3"</f>
        <v>@dN30_8_1 == (0.10831132388745*((@N30_10_1))/0.0973266889310331-(@N30_8_1))*(@rmax_1)**3</v>
      </c>
      <c r="B131" s="3"/>
      <c r="C131" s="3"/>
      <c r="D131" s="3"/>
      <c r="E131" s="3"/>
      <c r="F131" s="3"/>
      <c r="G131" s="3"/>
      <c r="H131" s="3"/>
      <c r="I131" s="3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</row>
    <row r="132" spans="1:28" x14ac:dyDescent="0.25">
      <c r="A132" s="53" t="str">
        <f>IF(G1=0,"","@dN30_7_"&amp;E36&amp;" == ("&amp;G2&amp;"*((@N30_10_"&amp;E36&amp;"))/"&amp;D2&amp;"-(@N30_7_"&amp;E36&amp;"))*(@rmax_"&amp;E36&amp;")**3")</f>
        <v/>
      </c>
      <c r="B132" s="3"/>
      <c r="C132" s="3"/>
      <c r="D132" s="3"/>
      <c r="E132" s="3"/>
      <c r="F132" s="3"/>
      <c r="G132" s="3"/>
      <c r="H132" s="3"/>
      <c r="I132" s="3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</row>
    <row r="133" spans="1:28" x14ac:dyDescent="0.25">
      <c r="A133" s="53" t="str">
        <f>IF(H1=0,"","@dN30_6_"&amp;E36&amp;" == ("&amp;H2&amp;"*((@N30_10_"&amp;E36&amp;"))/"&amp;D2&amp;"-(@N30_6_"&amp;E36&amp;"))*(@rmax_"&amp;E36&amp;")**3")</f>
        <v/>
      </c>
      <c r="B133" s="3"/>
      <c r="C133" s="3"/>
      <c r="D133" s="3"/>
      <c r="E133" s="3"/>
      <c r="F133" s="3"/>
      <c r="G133" s="3"/>
      <c r="H133" s="3"/>
      <c r="I133" s="3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</row>
    <row r="134" spans="1:28" x14ac:dyDescent="0.25">
      <c r="A134" s="53" t="str">
        <f>IF(I1=0,"","@dN30_5_"&amp;E36&amp;" == ("&amp;I2&amp;"*((@N30_10_"&amp;E36&amp;"))/"&amp;D2&amp;"-(@N30_5_"&amp;E36&amp;"))*(@rmax_"&amp;E36&amp;")**3")</f>
        <v/>
      </c>
      <c r="B134" s="3"/>
      <c r="C134" s="3"/>
      <c r="D134" s="3"/>
      <c r="E134" s="3"/>
      <c r="F134" s="3"/>
      <c r="G134" s="3"/>
      <c r="H134" s="3"/>
      <c r="I134" s="3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</row>
    <row r="135" spans="1:28" x14ac:dyDescent="0.25">
      <c r="A135" s="53" t="str">
        <f>IF(J1=0,"","@dN30_4_"&amp;E36&amp;" == ("&amp;J2&amp;"*((@N30_10_"&amp;E36&amp;"))/"&amp;D2&amp;"-(@N30_4_"&amp;E36&amp;"))*(@rmax_"&amp;E36&amp;")**3")</f>
        <v/>
      </c>
      <c r="B135" s="3"/>
      <c r="C135" s="3"/>
      <c r="D135" s="3"/>
      <c r="E135" s="3"/>
      <c r="F135" s="3"/>
      <c r="G135" s="3"/>
      <c r="H135" s="3"/>
      <c r="I135" s="3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</row>
    <row r="136" spans="1:28" x14ac:dyDescent="0.25">
      <c r="A136" s="53" t="str">
        <f>IF(K1=0,"","@dN30_3_"&amp;E36&amp;" == ("&amp;K2&amp;"*((@N30_10_"&amp;E36&amp;"))/"&amp;D2&amp;"-(@N30_3_"&amp;E36&amp;"))*(@rmax_"&amp;E36&amp;")**3")</f>
        <v/>
      </c>
      <c r="B136" s="3"/>
      <c r="C136" s="3"/>
      <c r="D136" s="3"/>
      <c r="E136" s="3"/>
      <c r="F136" s="3"/>
      <c r="G136" s="3"/>
      <c r="H136" s="3"/>
      <c r="I136" s="3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</row>
    <row r="137" spans="1:28" x14ac:dyDescent="0.25">
      <c r="A137" s="53" t="str">
        <f>IF(L1=0,"","@dN30_2_"&amp;E36&amp;" == ("&amp;L2&amp;"*((@N30_10_"&amp;E36&amp;"))/"&amp;D2&amp;"-(@N30_2_"&amp;E36&amp;"))*(@rmax_"&amp;E36&amp;")**3")</f>
        <v/>
      </c>
      <c r="B137" s="3"/>
      <c r="C137" s="3"/>
      <c r="D137" s="3"/>
      <c r="E137" s="3"/>
      <c r="F137" s="3"/>
      <c r="G137" s="3"/>
      <c r="H137" s="3"/>
      <c r="I137" s="3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</row>
    <row r="138" spans="1:28" x14ac:dyDescent="0.25">
      <c r="A138" s="53" t="str">
        <f>IF(M1=0,"","@dN30_1_"&amp;E36&amp;" == ("&amp;M2&amp;"*((@N30_10_"&amp;E36&amp;"))/"&amp;D2&amp;"-(@N30_1_"&amp;E36&amp;"))*(@rmax_"&amp;E36&amp;")**3")</f>
        <v/>
      </c>
      <c r="B138" s="3"/>
      <c r="C138" s="3"/>
      <c r="D138" s="3"/>
      <c r="E138" s="3"/>
      <c r="F138" s="3"/>
      <c r="G138" s="3"/>
      <c r="H138" s="3"/>
      <c r="I138" s="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</row>
    <row r="139" spans="1:28" x14ac:dyDescent="0.25">
      <c r="A139" s="53" t="str">
        <f>"@dN40_9_"&amp;E36&amp;" == ("&amp;E2&amp;"*((@N40_10_"&amp;E36&amp;"))/"&amp;D2&amp;"-(@N40_9_"&amp;E36&amp;"))*(@rmax_"&amp;E36&amp;")**4"</f>
        <v>@dN40_9_1 == (0.100331880617345*((@N40_10_1))/0.0973266889310331-(@N40_9_1))*(@rmax_1)**4</v>
      </c>
      <c r="B139" s="3"/>
      <c r="C139" s="3"/>
      <c r="D139" s="3"/>
      <c r="E139" s="3"/>
      <c r="F139" s="3"/>
      <c r="G139" s="3"/>
      <c r="H139" s="3"/>
      <c r="I139" s="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</row>
    <row r="140" spans="1:28" x14ac:dyDescent="0.25">
      <c r="A140" s="53" t="str">
        <f>"@dN40_8_"&amp;E36&amp;" == ("&amp;F2&amp;"*((@N40_10_"&amp;E36&amp;"))/"&amp;D2&amp;"-(@N40_8_"&amp;E36&amp;"))*(@rmax_"&amp;E36&amp;")**4"</f>
        <v>@dN40_8_1 == (0.10831132388745*((@N40_10_1))/0.0973266889310331-(@N40_8_1))*(@rmax_1)**4</v>
      </c>
      <c r="B140" s="3"/>
      <c r="C140" s="3"/>
      <c r="D140" s="3"/>
      <c r="E140" s="3"/>
      <c r="F140" s="3"/>
      <c r="G140" s="3"/>
      <c r="H140" s="3"/>
      <c r="I140" s="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</row>
    <row r="141" spans="1:28" x14ac:dyDescent="0.25">
      <c r="A141" s="53" t="str">
        <f>IF(G1=0,"","@dN40_7_"&amp;E36&amp;" == ("&amp;G2&amp;"*((@N40_10_"&amp;E36&amp;"))/"&amp;D2&amp;"-(@N40_7_"&amp;E36&amp;"))*(@rmax_"&amp;E36&amp;")**4")</f>
        <v/>
      </c>
      <c r="B141" s="3"/>
      <c r="C141" s="3"/>
      <c r="D141" s="3"/>
      <c r="E141" s="3"/>
      <c r="F141" s="3"/>
      <c r="G141" s="3"/>
      <c r="H141" s="3"/>
      <c r="I141" s="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</row>
    <row r="142" spans="1:28" x14ac:dyDescent="0.25">
      <c r="A142" s="53" t="str">
        <f>IF(H1=0,"","@dN40_6_"&amp;E36&amp;" == ("&amp;H2&amp;"*((@N40_10_"&amp;E36&amp;"))/"&amp;D2&amp;"-(@N40_6_"&amp;E36&amp;"))*(@rmax_"&amp;E36&amp;")**4")</f>
        <v/>
      </c>
      <c r="B142" s="3"/>
      <c r="C142" s="3"/>
      <c r="D142" s="3"/>
      <c r="E142" s="3"/>
      <c r="F142" s="3"/>
      <c r="G142" s="3"/>
      <c r="H142" s="3"/>
      <c r="I142" s="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</row>
    <row r="143" spans="1:28" x14ac:dyDescent="0.25">
      <c r="A143" s="53" t="str">
        <f>IF(I1=0,"","@dN40_5_"&amp;E36&amp;" == ("&amp;I2&amp;"*((@N40_10_"&amp;E36&amp;"))/"&amp;D2&amp;"-(@N40_5_"&amp;E36&amp;"))*(@rmax_"&amp;E36&amp;")**4")</f>
        <v/>
      </c>
      <c r="B143" s="3"/>
      <c r="C143" s="3"/>
      <c r="D143" s="3"/>
      <c r="E143" s="3"/>
      <c r="F143" s="3"/>
      <c r="G143" s="3"/>
      <c r="H143" s="3"/>
      <c r="I143" s="3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</row>
    <row r="144" spans="1:28" x14ac:dyDescent="0.25">
      <c r="A144" s="53" t="str">
        <f>IF(J1=0,"","@dN40_4_"&amp;E36&amp;" == ("&amp;J2&amp;"*((@N40_10_"&amp;E36&amp;"))/"&amp;D2&amp;"-(@N40_4_"&amp;E36&amp;"))*(@rmax_"&amp;E36&amp;")**4")</f>
        <v/>
      </c>
      <c r="B144" s="3"/>
      <c r="C144" s="3"/>
      <c r="D144" s="3"/>
      <c r="E144" s="3"/>
      <c r="F144" s="3"/>
      <c r="G144" s="3"/>
      <c r="H144" s="3"/>
      <c r="I144" s="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</row>
    <row r="145" spans="1:28" x14ac:dyDescent="0.25">
      <c r="A145" s="53" t="str">
        <f>IF(K1=0,"","@dN40_3_"&amp;E36&amp;" == ("&amp;K2&amp;"*((@N40_10_"&amp;E36&amp;"))/"&amp;D2&amp;"-(@N40_3_"&amp;E36&amp;"))*(@rmax_"&amp;E36&amp;")**4")</f>
        <v/>
      </c>
      <c r="B145" s="3"/>
      <c r="C145" s="3"/>
      <c r="D145" s="3"/>
      <c r="E145" s="3"/>
      <c r="F145" s="3"/>
      <c r="G145" s="3"/>
      <c r="H145" s="3"/>
      <c r="I145" s="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</row>
    <row r="146" spans="1:28" x14ac:dyDescent="0.25">
      <c r="A146" s="53" t="str">
        <f>IF(L1=0,"","@dN40_2_"&amp;E36&amp;" == ("&amp;L2&amp;"*((@N40_10_"&amp;E36&amp;"))/"&amp;D2&amp;"-(@N40_2_"&amp;E36&amp;"))*(@rmax_"&amp;E36&amp;")**4")</f>
        <v/>
      </c>
      <c r="B146" s="3"/>
      <c r="C146" s="3"/>
      <c r="D146" s="3"/>
      <c r="E146" s="3"/>
      <c r="F146" s="3"/>
      <c r="G146" s="3"/>
      <c r="H146" s="3"/>
      <c r="I146" s="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</row>
    <row r="147" spans="1:28" x14ac:dyDescent="0.25">
      <c r="A147" s="53" t="str">
        <f>IF(M1=0,"","@dN40_1_"&amp;E36&amp;" == ("&amp;M2&amp;"*((@N40_10_"&amp;E36&amp;"))/"&amp;D2&amp;"-(@N40_1_"&amp;E36&amp;"))*(@rmax_"&amp;E36&amp;")**4")</f>
        <v/>
      </c>
      <c r="B147" s="3"/>
      <c r="C147" s="3"/>
      <c r="D147" s="3"/>
      <c r="E147" s="3"/>
      <c r="F147" s="3"/>
      <c r="G147" s="3"/>
      <c r="H147" s="3"/>
      <c r="I147" s="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</row>
    <row r="148" spans="1:28" x14ac:dyDescent="0.25">
      <c r="A148" s="53"/>
      <c r="B148" s="3"/>
      <c r="C148" s="3"/>
      <c r="D148" s="3"/>
      <c r="E148" s="3"/>
      <c r="F148" s="3"/>
      <c r="G148" s="3"/>
      <c r="H148" s="3"/>
      <c r="I148" s="3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</row>
    <row r="149" spans="1:28" x14ac:dyDescent="0.25">
      <c r="A149" s="4" t="str">
        <f>"! Constrain gradient coefficients"</f>
        <v>! Constrain gradient coefficients</v>
      </c>
      <c r="B149" s="3"/>
      <c r="C149" s="53"/>
      <c r="D149" s="53"/>
      <c r="E149" s="53"/>
      <c r="F149" s="53"/>
      <c r="G149" s="53"/>
      <c r="H149" s="53"/>
      <c r="I149" s="53"/>
      <c r="J149" s="4"/>
      <c r="K149" s="4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</row>
    <row r="150" spans="1:28" x14ac:dyDescent="0.25">
      <c r="A150" s="53" t="str">
        <f>IF(C16="yes","@dN0_9_"&amp;E36&amp;" = 0","")</f>
        <v>@dN0_9_1 = 0</v>
      </c>
      <c r="B150" s="3"/>
      <c r="C150" s="53"/>
      <c r="D150" s="53"/>
      <c r="E150" s="53"/>
      <c r="F150" s="53"/>
      <c r="G150" s="53"/>
      <c r="H150" s="53"/>
      <c r="I150" s="53"/>
      <c r="J150" s="4"/>
      <c r="K150" s="4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</row>
    <row r="151" spans="1:28" x14ac:dyDescent="0.25">
      <c r="A151" s="53" t="str">
        <f>IF(C16="yes","@dN0_8_"&amp;E36&amp;" = 0","")</f>
        <v>@dN0_8_1 = 0</v>
      </c>
      <c r="B151" s="30"/>
      <c r="C151" s="4"/>
      <c r="D151" s="4"/>
      <c r="E151" s="4"/>
      <c r="F151" s="4"/>
      <c r="G151" s="4"/>
      <c r="H151" s="4"/>
      <c r="I151" s="4"/>
      <c r="J151" s="4"/>
      <c r="K151" s="4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</row>
    <row r="152" spans="1:28" x14ac:dyDescent="0.25">
      <c r="A152" s="53" t="str">
        <f>IF(C16="yes",IF(G1=0,"","@dN0_7_"&amp;E36&amp;" = 0"),"")</f>
        <v/>
      </c>
      <c r="B152" s="30"/>
      <c r="C152" s="4"/>
      <c r="D152" s="4"/>
      <c r="E152" s="4"/>
      <c r="F152" s="4"/>
      <c r="G152" s="4"/>
      <c r="H152" s="4"/>
      <c r="I152" s="53"/>
      <c r="J152" s="4"/>
      <c r="K152" s="4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</row>
    <row r="153" spans="1:28" x14ac:dyDescent="0.25">
      <c r="A153" s="53" t="str">
        <f>IF(C16="yes",IF(H1=0,"","@dN0_6_"&amp;E36&amp;" = 0"),"")</f>
        <v/>
      </c>
      <c r="B153" s="30"/>
      <c r="C153" s="4"/>
      <c r="D153" s="4"/>
      <c r="E153" s="4"/>
      <c r="F153" s="4"/>
      <c r="G153" s="4"/>
      <c r="H153" s="4"/>
      <c r="I153" s="4"/>
      <c r="J153" s="4"/>
      <c r="K153" s="4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</row>
    <row r="154" spans="1:28" x14ac:dyDescent="0.25">
      <c r="A154" s="53" t="str">
        <f>IF(C16="yes",IF(I1=0,"","@dN0_5_"&amp;E36&amp;" = 0"),"")</f>
        <v/>
      </c>
      <c r="B154" s="30"/>
      <c r="C154" s="4"/>
      <c r="D154" s="4"/>
      <c r="E154" s="4"/>
      <c r="F154" s="4"/>
      <c r="G154" s="4"/>
      <c r="H154" s="4"/>
      <c r="I154" s="4"/>
      <c r="J154" s="4"/>
      <c r="K154" s="4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</row>
    <row r="155" spans="1:28" x14ac:dyDescent="0.25">
      <c r="A155" s="53" t="str">
        <f>IF(C16="yes",IF(J1=0,"","@dN0_4_"&amp;E36&amp;" = 0"),"")</f>
        <v/>
      </c>
      <c r="B155" s="30"/>
      <c r="C155" s="4"/>
      <c r="D155" s="4"/>
      <c r="E155" s="4"/>
      <c r="F155" s="4"/>
      <c r="G155" s="4"/>
      <c r="H155" s="4"/>
      <c r="I155" s="4"/>
      <c r="J155" s="4"/>
      <c r="K155" s="4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</row>
    <row r="156" spans="1:28" x14ac:dyDescent="0.25">
      <c r="A156" s="53" t="str">
        <f>IF(C16="yes",IF(K1=0,"","@dN0_3_"&amp;E36&amp;" = 0"),"")</f>
        <v/>
      </c>
      <c r="B156" s="30"/>
      <c r="C156" s="4"/>
      <c r="D156" s="4"/>
      <c r="E156" s="4"/>
      <c r="F156" s="4"/>
      <c r="G156" s="4"/>
      <c r="H156" s="4"/>
      <c r="I156" s="4"/>
      <c r="J156" s="4"/>
      <c r="K156" s="4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</row>
    <row r="157" spans="1:28" x14ac:dyDescent="0.25">
      <c r="A157" s="53" t="str">
        <f>IF(C16="yes",IF(L1=0,"","@dN0_2_"&amp;E36&amp;" = 0"),"")</f>
        <v/>
      </c>
      <c r="B157" s="30"/>
      <c r="C157" s="4"/>
      <c r="D157" s="4"/>
      <c r="E157" s="4"/>
      <c r="F157" s="4"/>
      <c r="G157" s="4"/>
      <c r="H157" s="4"/>
      <c r="I157" s="4"/>
      <c r="J157" s="4"/>
      <c r="K157" s="4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</row>
    <row r="158" spans="1:28" x14ac:dyDescent="0.25">
      <c r="A158" s="53" t="str">
        <f>IF(C16="yes",IF(M1=0,"","@dN0_1_"&amp;E36&amp;" = 0"),"")</f>
        <v/>
      </c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</row>
    <row r="159" spans="1:28" x14ac:dyDescent="0.25">
      <c r="A159" s="53" t="str">
        <f>IF(C17="yes","@dN10_9_"&amp;E36&amp;" = 0;","")</f>
        <v>@dN10_9_1 = 0;</v>
      </c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</row>
    <row r="160" spans="1:28" x14ac:dyDescent="0.25">
      <c r="A160" s="53" t="str">
        <f>IF(C17="yes","@dN10_8_"&amp;E36&amp;" = 0;","")</f>
        <v>@dN10_8_1 = 0;</v>
      </c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</row>
    <row r="161" spans="1:28" x14ac:dyDescent="0.25">
      <c r="A161" s="53" t="str">
        <f>IF(C17="yes",IF(G1=0,"","@dN10_7_"&amp;E36&amp;" = 0;"),"")</f>
        <v/>
      </c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</row>
    <row r="162" spans="1:28" x14ac:dyDescent="0.25">
      <c r="A162" s="53" t="str">
        <f>IF(C17="yes",IF(H1=0,"","@dN10_6_"&amp;E36&amp;" = 0;"),"")</f>
        <v/>
      </c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</row>
    <row r="163" spans="1:28" x14ac:dyDescent="0.25">
      <c r="A163" s="53" t="str">
        <f>IF(C17="yes",IF(I1=0,"","@dN10_5_"&amp;E36&amp;" = 0;"),"")</f>
        <v/>
      </c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</row>
    <row r="164" spans="1:28" x14ac:dyDescent="0.25">
      <c r="A164" s="53" t="str">
        <f>IF(C17="yes",IF(J1=0,"","@dN10_4_"&amp;E36&amp;" = 0;"),"")</f>
        <v/>
      </c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</row>
    <row r="165" spans="1:28" x14ac:dyDescent="0.25">
      <c r="A165" s="53" t="str">
        <f>IF(C17="yes",IF(K1=0,"","@dN10_3_"&amp;E36&amp;" = 0;"),"")</f>
        <v/>
      </c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</row>
    <row r="166" spans="1:28" x14ac:dyDescent="0.25">
      <c r="A166" s="53" t="str">
        <f>IF(C17="yes",IF(L1=0,"","@dN10_2_"&amp;E36&amp;" = 0;"),"")</f>
        <v/>
      </c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</row>
    <row r="167" spans="1:28" x14ac:dyDescent="0.25">
      <c r="A167" s="53" t="str">
        <f>IF(C17="yes",IF(M1=0,"","@dN10_1_"&amp;E36&amp;" = 0;"),"")</f>
        <v/>
      </c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</row>
    <row r="168" spans="1:28" x14ac:dyDescent="0.25">
      <c r="A168" s="53" t="str">
        <f>IF(C18="yes","@dN20_9_"&amp;E36&amp;" = 0;","")</f>
        <v>@dN20_9_1 = 0;</v>
      </c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</row>
    <row r="169" spans="1:28" x14ac:dyDescent="0.25">
      <c r="A169" s="53" t="str">
        <f>IF(C18="yes","@dN20_8_"&amp;E36&amp;" = 0;","")</f>
        <v>@dN20_8_1 = 0;</v>
      </c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</row>
    <row r="170" spans="1:28" x14ac:dyDescent="0.25">
      <c r="A170" s="53" t="str">
        <f>IF(C18="yes",IF(G1=0,"","@dN20_7_"&amp;E36&amp;" = 0;"),"")</f>
        <v/>
      </c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</row>
    <row r="171" spans="1:28" x14ac:dyDescent="0.25">
      <c r="A171" s="53" t="str">
        <f>IF(C18="yes",IF(H1=0,"","@dN20_6_"&amp;E36&amp;" = 0;"),"")</f>
        <v/>
      </c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</row>
    <row r="172" spans="1:28" x14ac:dyDescent="0.25">
      <c r="A172" s="53" t="str">
        <f>IF(C18="yes",IF(I1=0,"","@dN20_5_"&amp;E36&amp;" = 0;"),"")</f>
        <v/>
      </c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</row>
    <row r="173" spans="1:28" x14ac:dyDescent="0.25">
      <c r="A173" s="53" t="str">
        <f>IF(C18="yes",IF(J1=0,"","@dN20_4_"&amp;E36&amp;" = 0;"),"")</f>
        <v/>
      </c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</row>
    <row r="174" spans="1:28" x14ac:dyDescent="0.25">
      <c r="A174" s="53" t="str">
        <f>IF(C18="yes",IF(K1=0,"","@dN20_3_"&amp;E36&amp;" = 0;"),"")</f>
        <v/>
      </c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</row>
    <row r="175" spans="1:28" x14ac:dyDescent="0.25">
      <c r="A175" s="53" t="str">
        <f>IF(C18="yes",IF(L1=0,"","@dN20_2_"&amp;E36&amp;" = 0;"),"")</f>
        <v/>
      </c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</row>
    <row r="176" spans="1:28" x14ac:dyDescent="0.25">
      <c r="A176" s="53" t="str">
        <f>IF(C18="yes",IF(M1=0,"","@dN20_1_"&amp;E36&amp;" = 0;"),"")</f>
        <v/>
      </c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</row>
    <row r="177" spans="1:28" x14ac:dyDescent="0.25">
      <c r="A177" s="53" t="str">
        <f>IF(C19="yes","@dN30_9_"&amp;E36&amp;" = 0;","")</f>
        <v>@dN30_9_1 = 0;</v>
      </c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</row>
    <row r="178" spans="1:28" x14ac:dyDescent="0.25">
      <c r="A178" s="53" t="str">
        <f>IF(C19="yes","@dN30_8_"&amp;E36&amp;" = 0;","")</f>
        <v>@dN30_8_1 = 0;</v>
      </c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</row>
    <row r="179" spans="1:28" x14ac:dyDescent="0.25">
      <c r="A179" s="53" t="str">
        <f>IF(C19="yes",IF(G1=0,"","@dN30_7_"&amp;E36&amp;" = 0;"),"")</f>
        <v/>
      </c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</row>
    <row r="180" spans="1:28" x14ac:dyDescent="0.25">
      <c r="A180" s="53" t="str">
        <f>IF(C19="yes",IF(H1=0,"","@dN30_6_"&amp;E36&amp;" = 0;"),"")</f>
        <v/>
      </c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</row>
    <row r="181" spans="1:28" x14ac:dyDescent="0.25">
      <c r="A181" s="53" t="str">
        <f>IF(C19="yes",IF(I1=0,"","@dN30_5_"&amp;E36&amp;" = 0;"),"")</f>
        <v/>
      </c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</row>
    <row r="182" spans="1:28" x14ac:dyDescent="0.25">
      <c r="A182" s="53" t="str">
        <f>IF(C19="yes",IF(J1=0,"","@dN30_4_"&amp;E36&amp;" = 0;"),"")</f>
        <v/>
      </c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</row>
    <row r="183" spans="1:28" x14ac:dyDescent="0.25">
      <c r="A183" s="53" t="str">
        <f>IF(C19="yes",IF(K1=0,"","@dN30_3_"&amp;E36&amp;" = 0;"),"")</f>
        <v/>
      </c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</row>
    <row r="184" spans="1:28" x14ac:dyDescent="0.25">
      <c r="A184" s="53" t="str">
        <f>IF(C19="yes",IF(L1=0,"","@dN30_2_"&amp;E36&amp;" = 0;"),"")</f>
        <v/>
      </c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</row>
    <row r="185" spans="1:28" x14ac:dyDescent="0.25">
      <c r="A185" s="53" t="str">
        <f>IF(C19="yes",IF(M1=0,"","@dN30_1_"&amp;E36&amp;" = 0;"),"")</f>
        <v/>
      </c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</row>
    <row r="186" spans="1:28" x14ac:dyDescent="0.25">
      <c r="A186" s="53" t="str">
        <f>IF(C20="yes","@dN40_9_"&amp;E36&amp;" = 0;","")</f>
        <v>@dN40_9_1 = 0;</v>
      </c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</row>
    <row r="187" spans="1:28" x14ac:dyDescent="0.25">
      <c r="A187" s="53" t="str">
        <f>IF(C20="yes","@dN40_8_"&amp;E36&amp;" = 0;","")</f>
        <v>@dN40_8_1 = 0;</v>
      </c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</row>
    <row r="188" spans="1:28" x14ac:dyDescent="0.25">
      <c r="A188" s="53" t="str">
        <f>IF(C20="yes",IF(G1=0,"","@dN40_7_"&amp;E36&amp;" = 0;"),"")</f>
        <v/>
      </c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</row>
    <row r="189" spans="1:28" x14ac:dyDescent="0.25">
      <c r="A189" s="53" t="str">
        <f>IF(C20="yes",IF(H1=0,"","@dN40_6_"&amp;E36&amp;" = 0;"),"")</f>
        <v/>
      </c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</row>
    <row r="190" spans="1:28" x14ac:dyDescent="0.25">
      <c r="A190" s="53" t="str">
        <f>IF(C20="yes",IF(I1=0,"","@dN40_5_"&amp;E36&amp;" = 0;"),"")</f>
        <v/>
      </c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</row>
    <row r="191" spans="1:28" x14ac:dyDescent="0.25">
      <c r="A191" s="53" t="str">
        <f>IF(C20="yes",IF(J1=0,"","@dN40_4_"&amp;E36&amp;" = 0;"),"")</f>
        <v/>
      </c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</row>
    <row r="192" spans="1:28" x14ac:dyDescent="0.25">
      <c r="A192" s="53" t="str">
        <f>IF(C20="yes",IF(K1=0,"","@dN40_3_"&amp;E36&amp;" = 0;"),"")</f>
        <v/>
      </c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</row>
    <row r="193" spans="1:28" x14ac:dyDescent="0.25">
      <c r="A193" s="53" t="str">
        <f>IF(C20="yes",IF(L1=0,"","@dN40_2_"&amp;E36&amp;" = 0;"),"")</f>
        <v/>
      </c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</row>
    <row r="194" spans="1:28" x14ac:dyDescent="0.25">
      <c r="A194" s="53" t="str">
        <f>IF(C20="yes",IF(M1=0,"","@dN40_1_"&amp;E36&amp;" = 0;"),"")</f>
        <v/>
      </c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</row>
    <row r="195" spans="1:28" x14ac:dyDescent="0.25">
      <c r="A195" s="53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</row>
    <row r="196" spans="1:28" x14ac:dyDescent="0.25">
      <c r="A196" s="53" t="s">
        <v>74</v>
      </c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</row>
    <row r="197" spans="1:28" x14ac:dyDescent="0.25">
      <c r="A197" s="53" t="s">
        <v>69</v>
      </c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</row>
    <row r="198" spans="1:28" x14ac:dyDescent="0.25">
      <c r="A198" s="53" t="str">
        <f>"@grnCoCtol_"&amp;E36&amp;" == 5"</f>
        <v>@grnCoCtol_1 == 5</v>
      </c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</row>
    <row r="199" spans="1:28" x14ac:dyDescent="0.25">
      <c r="A199" s="54" t="str">
        <f>"@grnCoC_"&amp;E36&amp;" == ((CT S'grin"&amp;E36&amp;"'))/((@grnCoCtol_"&amp;E36&amp;") + 0.5*(CT S'grin"&amp;E36&amp;"'))- absf((CT S'grin"&amp;E36&amp;"')/(1/(GRN C5 S'grin"&amp;E36&amp;"' W1) - 0.5*(CT S'grin"&amp;E36&amp;"')));"</f>
        <v>@grnCoC_1 == ((CT S'grin1'))/((@grnCoCtol_1) + 0.5*(CT S'grin1'))- absf((CT S'grin1')/(1/(GRN C5 S'grin1' W1) - 0.5*(CT S'grin1')));</v>
      </c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</row>
    <row r="200" spans="1:28" x14ac:dyDescent="0.25">
      <c r="A200" s="54" t="str">
        <f>"@grnCoC_"&amp;E36&amp;" &gt; 0"</f>
        <v>@grnCoC_1 &gt; 0</v>
      </c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</row>
    <row r="201" spans="1:28" x14ac:dyDescent="0.25">
      <c r="A201" s="54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</row>
    <row r="202" spans="1:28" x14ac:dyDescent="0.25">
      <c r="A202" s="54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</row>
    <row r="203" spans="1:28" x14ac:dyDescent="0.25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</row>
    <row r="204" spans="1:28" x14ac:dyDescent="0.25">
      <c r="A204" s="54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</row>
    <row r="205" spans="1:28" x14ac:dyDescent="0.25">
      <c r="A205" s="53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</row>
    <row r="206" spans="1:28" x14ac:dyDescent="0.25">
      <c r="A206" s="53" t="s">
        <v>65</v>
      </c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</row>
    <row r="207" spans="1:28" x14ac:dyDescent="0.25">
      <c r="A207" s="53" t="str">
        <f>"@isoinc1_"&amp;E36&amp;" == (GRN C5 S'grin"&amp;E36&amp;"' W1) - (GRN C5 S'grin"&amp;E36&amp;"' W2);"</f>
        <v>@isoinc1_1 == (GRN C5 S'grin1' W1) - (GRN C5 S'grin1' W2);</v>
      </c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</row>
    <row r="208" spans="1:28" x14ac:dyDescent="0.25">
      <c r="A208" s="53" t="str">
        <f>"@isoinc2_"&amp;E36&amp;" == (GRN C5 S'grin"&amp;E36&amp;"' W1) - (GRN C5 S'grin"&amp;E36&amp;"' W3);"</f>
        <v>@isoinc2_1 == (GRN C5 S'grin1' W1) - (GRN C5 S'grin1' W3);</v>
      </c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</row>
    <row r="209" spans="1:28" x14ac:dyDescent="0.25">
      <c r="A209" s="53" t="str">
        <f>IF(G1=0,"","@isoinc3_"&amp;E36&amp;" == (GRN C5 S'grin"&amp;E36&amp;"' W1) - (GRN C5 S'grin"&amp;E36&amp;"' W4);")</f>
        <v/>
      </c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</row>
    <row r="210" spans="1:28" x14ac:dyDescent="0.25">
      <c r="A210" s="53" t="str">
        <f>IF(H1=0,"","@isoinc4_"&amp;E36&amp;" == (GRN C5 S'grin"&amp;E36&amp;"' W1) - (GRN C5 S'grin"&amp;E36&amp;"' W5);")</f>
        <v/>
      </c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</row>
    <row r="211" spans="1:28" x14ac:dyDescent="0.25">
      <c r="A211" s="53" t="str">
        <f>IF(I1=0,"","@isoinc5_"&amp;E36&amp;" == (GRN C5 S'grin"&amp;E36&amp;"' W1) - (GRN C5 S'grin"&amp;E36&amp;"' W6);")</f>
        <v/>
      </c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</row>
    <row r="212" spans="1:28" x14ac:dyDescent="0.25">
      <c r="A212" s="53" t="str">
        <f>IF(J1=0,"","@isoinc6_"&amp;E36&amp;" == (GRN C5 S'grin"&amp;E36&amp;"' W1) - (GRN C5 S'grin"&amp;E36&amp;"' W7);")</f>
        <v/>
      </c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</row>
    <row r="213" spans="1:28" x14ac:dyDescent="0.25">
      <c r="A213" s="53" t="str">
        <f>IF(K1=0,"","@isoinc7_"&amp;E36&amp;" == (GRN C5 S'grin"&amp;E36&amp;"' W1) - (GRN C5 S'grin"&amp;E36&amp;"' W8);")</f>
        <v/>
      </c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</row>
    <row r="214" spans="1:28" x14ac:dyDescent="0.25">
      <c r="A214" s="53" t="str">
        <f>IF(L1=0,"","@isoinc8_"&amp;E36&amp;" == (GRN C5 S'grin"&amp;E36&amp;"' W1) - (GRN C5 S'grin"&amp;E36&amp;"' W9);")</f>
        <v/>
      </c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</row>
    <row r="215" spans="1:28" x14ac:dyDescent="0.25">
      <c r="A215" s="53" t="str">
        <f>IF(M1=0,"","@isoinc9_"&amp;E36&amp;" == (GRN C5 S'grin"&amp;E36&amp;"' W1) - (GRN C5 S'grin"&amp;E36&amp;"' W10);")</f>
        <v/>
      </c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</row>
    <row r="216" spans="1:28" x14ac:dyDescent="0.25">
      <c r="A216" s="53" t="str">
        <f>IF(C21="yes","@isoinc1_"&amp;E36&amp;" = 0;","")</f>
        <v>@isoinc1_1 = 0;</v>
      </c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</row>
    <row r="217" spans="1:28" x14ac:dyDescent="0.25">
      <c r="A217" s="53" t="str">
        <f>IF(C21="yes","@isoinc2_"&amp;E36&amp;" = 0;","")</f>
        <v>@isoinc2_1 = 0;</v>
      </c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</row>
    <row r="218" spans="1:28" x14ac:dyDescent="0.25">
      <c r="A218" s="53" t="str">
        <f>IF(C21="yes",IF(G1=0,"","@isoinc3_"&amp;E36&amp;" = 0;"),"")</f>
        <v/>
      </c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</row>
    <row r="219" spans="1:28" x14ac:dyDescent="0.25">
      <c r="A219" s="53" t="str">
        <f>IF(C21="yes",IF(H1=0,"","@isoinc4_"&amp;E36&amp;" = 0;"),"")</f>
        <v/>
      </c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</row>
    <row r="220" spans="1:28" x14ac:dyDescent="0.25">
      <c r="A220" s="53" t="str">
        <f>IF(C21="yes",IF(I1=0,"","@isoinc5_"&amp;E36&amp;" = 0;"),"")</f>
        <v/>
      </c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</row>
    <row r="221" spans="1:28" x14ac:dyDescent="0.25">
      <c r="A221" s="53" t="str">
        <f>IF(C21="yes",IF(J1=0,"","@isoinc6_"&amp;E36&amp;" = 0;"),"")</f>
        <v/>
      </c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</row>
    <row r="222" spans="1:28" x14ac:dyDescent="0.25">
      <c r="A222" s="53" t="str">
        <f>IF(C21="yes",IF(K1=0,"","@isoinc7_"&amp;E36&amp;" = 0;"),"")</f>
        <v/>
      </c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</row>
    <row r="223" spans="1:28" x14ac:dyDescent="0.25">
      <c r="A223" s="53" t="str">
        <f>IF(C21="yes",IF(L1=0,"","@isoinc8_"&amp;E36&amp;" = 0;"),"")</f>
        <v/>
      </c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</row>
    <row r="224" spans="1:28" x14ac:dyDescent="0.25">
      <c r="A224" s="53" t="str">
        <f>IF(C21="yes",IF(M1=0,"","@isoinc9_"&amp;E36&amp;" = 0;"),"")</f>
        <v/>
      </c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</row>
    <row r="225" spans="1:28" x14ac:dyDescent="0.25">
      <c r="A225" s="53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</row>
    <row r="226" spans="1:28" x14ac:dyDescent="0.25">
      <c r="A226" s="53" t="str">
        <f>"! Define maximum and minimum index and concentration from index profile at longest wavelength"</f>
        <v>! Define maximum and minimum index and concentration from index profile at longest wavelength</v>
      </c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</row>
    <row r="227" spans="1:28" x14ac:dyDescent="0.25">
      <c r="A227" s="53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</row>
    <row r="228" spans="1:28" x14ac:dyDescent="0.25">
      <c r="A228" s="53" t="str">
        <f>"! Constrain radial line scan indices"</f>
        <v>! Constrain radial line scan indices</v>
      </c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</row>
    <row r="229" spans="1:28" x14ac:dyDescent="0.25">
      <c r="A229" s="53" t="str">
        <f>"@H_"&amp;E36&amp;" == ((CT S'grin"&amp;E36&amp;"')/2 - 1/(GRN C5 S'grin"&amp;E36&amp;"' W1))**2"</f>
        <v>@H_1 == ((CT S'grin1')/2 - 1/(GRN C5 S'grin1' W1))**2</v>
      </c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</row>
    <row r="230" spans="1:28" x14ac:dyDescent="0.25">
      <c r="A230" s="4" t="str">
        <f>"@r0_"&amp;E36&amp;" == @N0_10_"&amp;E36&amp;"+(@N10_10_"&amp;E36&amp;")*((0*@rmax_"&amp;E36&amp;")**2+@H_"&amp;E36&amp;")**0.5+(@N20_10_"&amp;E36&amp;")*((0*@rmax_"&amp;E36&amp;")**2+@H_"&amp;E36&amp;")**1+(@N30_10_"&amp;E36&amp;")*((0*@rmax_"&amp;E36&amp;")**2+@H_"&amp;E36&amp;")**1.5+(@N40_10_"&amp;E36&amp;")*((0*@rmax_"&amp;E36&amp;")**2+@H_"&amp;E36&amp;")**2"</f>
        <v>@r0_1 == @N0_10_1+(@N10_10_1)*((0*@rmax_1)**2+@H_1)**0.5+(@N20_10_1)*((0*@rmax_1)**2+@H_1)**1+(@N30_10_1)*((0*@rmax_1)**2+@H_1)**1.5+(@N40_10_1)*((0*@rmax_1)**2+@H_1)**2</v>
      </c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</row>
    <row r="231" spans="1:28" x14ac:dyDescent="0.25">
      <c r="A231" s="4" t="str">
        <f>"@r1_"&amp;E36&amp;" == @N0_10_"&amp;E36&amp;"+(@N10_10_"&amp;E36&amp;")*((.1*@rmax_"&amp;E36&amp;")**2+@H_"&amp;E36&amp;")**0.5+(@N20_10_"&amp;E36&amp;")*((.1*@rmax_"&amp;E36&amp;")**2+@H_"&amp;E36&amp;")**1+(@N30_10_"&amp;E36&amp;")*((.1*@rmax_"&amp;E36&amp;")**2+@H_"&amp;E36&amp;")**1.5+(@N40_10_"&amp;E36&amp;")*((.1*@rmax_"&amp;E36&amp;")**2+@H_"&amp;E36&amp;")**2"</f>
        <v>@r1_1 == @N0_10_1+(@N10_10_1)*((.1*@rmax_1)**2+@H_1)**0.5+(@N20_10_1)*((.1*@rmax_1)**2+@H_1)**1+(@N30_10_1)*((.1*@rmax_1)**2+@H_1)**1.5+(@N40_10_1)*((.1*@rmax_1)**2+@H_1)**2</v>
      </c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</row>
    <row r="232" spans="1:28" x14ac:dyDescent="0.25">
      <c r="A232" s="4" t="str">
        <f>"@r2_"&amp;E36&amp;" == @N0_10_"&amp;E36&amp;"+(@N10_10_"&amp;E36&amp;")*((.2*@rmax_"&amp;E36&amp;")**2+@H_"&amp;E36&amp;")**0.5+(@N20_10_"&amp;E36&amp;")*((.2*@rmax_"&amp;E36&amp;")**2+@H_"&amp;E36&amp;")**1+(@N30_10_"&amp;E36&amp;")*((.2*@rmax_"&amp;E36&amp;")**2+@H_"&amp;E36&amp;")**1.5+(@N40_10_"&amp;E36&amp;")*((.2*@rmax_"&amp;E36&amp;")**2+@H_"&amp;E36&amp;")**2"</f>
        <v>@r2_1 == @N0_10_1+(@N10_10_1)*((.2*@rmax_1)**2+@H_1)**0.5+(@N20_10_1)*((.2*@rmax_1)**2+@H_1)**1+(@N30_10_1)*((.2*@rmax_1)**2+@H_1)**1.5+(@N40_10_1)*((.2*@rmax_1)**2+@H_1)**2</v>
      </c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</row>
    <row r="233" spans="1:28" x14ac:dyDescent="0.25">
      <c r="A233" s="4" t="str">
        <f>"@r3_"&amp;E36&amp;" == @N0_10_"&amp;E36&amp;"+(@N10_10_"&amp;E36&amp;")*((.3*@rmax_"&amp;E36&amp;")**2+@H_"&amp;E36&amp;")**0.5+(@N20_10_"&amp;E36&amp;")*((.3*@rmax_"&amp;E36&amp;")**2+@H_"&amp;E36&amp;")**1+(@N30_10_"&amp;E36&amp;")*((.3*@rmax_"&amp;E36&amp;")**2+@H_"&amp;E36&amp;")**1.5+(@N40_10_"&amp;E36&amp;")*((.3*@rmax_"&amp;E36&amp;")**2+@H_"&amp;E36&amp;")**2"</f>
        <v>@r3_1 == @N0_10_1+(@N10_10_1)*((.3*@rmax_1)**2+@H_1)**0.5+(@N20_10_1)*((.3*@rmax_1)**2+@H_1)**1+(@N30_10_1)*((.3*@rmax_1)**2+@H_1)**1.5+(@N40_10_1)*((.3*@rmax_1)**2+@H_1)**2</v>
      </c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</row>
    <row r="234" spans="1:28" x14ac:dyDescent="0.25">
      <c r="A234" s="4" t="str">
        <f>"@r4_"&amp;E36&amp;" == @N0_10_"&amp;E36&amp;"+(@N10_10_"&amp;E36&amp;")*((.4*@rmax_"&amp;E36&amp;")**2+@H_"&amp;E36&amp;")**0.5+(@N20_10_"&amp;E36&amp;")*((.4*@rmax_"&amp;E36&amp;")**2+@H_"&amp;E36&amp;")**1+(@N30_10_"&amp;E36&amp;")*((.4*@rmax_"&amp;E36&amp;")**2+@H_"&amp;E36&amp;")**1.5+(@N40_10_"&amp;E36&amp;")*((.4*@rmax_"&amp;E36&amp;")**2+@H_"&amp;E36&amp;")**2"</f>
        <v>@r4_1 == @N0_10_1+(@N10_10_1)*((.4*@rmax_1)**2+@H_1)**0.5+(@N20_10_1)*((.4*@rmax_1)**2+@H_1)**1+(@N30_10_1)*((.4*@rmax_1)**2+@H_1)**1.5+(@N40_10_1)*((.4*@rmax_1)**2+@H_1)**2</v>
      </c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</row>
    <row r="235" spans="1:28" x14ac:dyDescent="0.25">
      <c r="A235" s="4" t="str">
        <f>"@r5_"&amp;E36&amp;" == @N0_10_"&amp;E36&amp;"+(@N10_10_"&amp;E36&amp;")*((.5*@rmax_"&amp;E36&amp;")**2+@H_"&amp;E36&amp;")**0.5+(@N20_10_"&amp;E36&amp;")*((.5*@rmax_"&amp;E36&amp;")**2+@H_"&amp;E36&amp;")**1+(@N30_10_"&amp;E36&amp;")*((.5*@rmax_"&amp;E36&amp;")**2+@H_"&amp;E36&amp;")**1.5+(@N40_10_"&amp;E36&amp;")*((.5*@rmax_"&amp;E36&amp;")**2+@H_"&amp;E36&amp;")**2"</f>
        <v>@r5_1 == @N0_10_1+(@N10_10_1)*((.5*@rmax_1)**2+@H_1)**0.5+(@N20_10_1)*((.5*@rmax_1)**2+@H_1)**1+(@N30_10_1)*((.5*@rmax_1)**2+@H_1)**1.5+(@N40_10_1)*((.5*@rmax_1)**2+@H_1)**2</v>
      </c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</row>
    <row r="236" spans="1:28" x14ac:dyDescent="0.25">
      <c r="A236" s="4" t="str">
        <f>"@r6_"&amp;E36&amp;" == @N0_10_"&amp;E36&amp;"+(@N10_10_"&amp;E36&amp;")*((.6*@rmax_"&amp;E36&amp;")**2+@H_"&amp;E36&amp;")**0.5+(@N20_10_"&amp;E36&amp;")*((.6*@rmax_"&amp;E36&amp;")**2+@H_"&amp;E36&amp;")**1+(@N30_10_"&amp;E36&amp;")*((.6*@rmax_"&amp;E36&amp;")**2+@H_"&amp;E36&amp;")**1.5+(@N40_10_"&amp;E36&amp;")*((.6*@rmax_"&amp;E36&amp;")**2+@H_"&amp;E36&amp;")**2"</f>
        <v>@r6_1 == @N0_10_1+(@N10_10_1)*((.6*@rmax_1)**2+@H_1)**0.5+(@N20_10_1)*((.6*@rmax_1)**2+@H_1)**1+(@N30_10_1)*((.6*@rmax_1)**2+@H_1)**1.5+(@N40_10_1)*((.6*@rmax_1)**2+@H_1)**2</v>
      </c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</row>
    <row r="237" spans="1:28" x14ac:dyDescent="0.25">
      <c r="A237" s="4" t="str">
        <f>"@r7_"&amp;E36&amp;" == @N0_10_"&amp;E36&amp;"+(@N10_10_"&amp;E36&amp;")*((.7*@rmax_"&amp;E36&amp;")**2+@H_"&amp;E36&amp;")**0.5+(@N20_10_"&amp;E36&amp;")*((.7*@rmax_"&amp;E36&amp;")**2+@H_"&amp;E36&amp;")**1+(@N30_10_"&amp;E36&amp;")*((.7*@rmax_"&amp;E36&amp;")**2+@H_"&amp;E36&amp;")**1.5+(@N40_10_"&amp;E36&amp;")*((.7*@rmax_"&amp;E36&amp;")**2+@H_"&amp;E36&amp;")**2"</f>
        <v>@r7_1 == @N0_10_1+(@N10_10_1)*((.7*@rmax_1)**2+@H_1)**0.5+(@N20_10_1)*((.7*@rmax_1)**2+@H_1)**1+(@N30_10_1)*((.7*@rmax_1)**2+@H_1)**1.5+(@N40_10_1)*((.7*@rmax_1)**2+@H_1)**2</v>
      </c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</row>
    <row r="238" spans="1:28" x14ac:dyDescent="0.25">
      <c r="A238" s="4" t="str">
        <f>"@r8_"&amp;E36&amp;" == @N0_10_"&amp;E36&amp;"+(@N10_10_"&amp;E36&amp;")*((.8*@rmax_"&amp;E36&amp;")**2+@H_"&amp;E36&amp;")**0.5+(@N20_10_"&amp;E36&amp;")*((.8*@rmax_"&amp;E36&amp;")**2+@H_"&amp;E36&amp;")**1+(@N30_10_"&amp;E36&amp;")*((.8*@rmax_"&amp;E36&amp;")**2+@H_"&amp;E36&amp;")**1.5+(@N40_10_"&amp;E36&amp;")*((.8*@rmax_"&amp;E36&amp;")**2+@H_"&amp;E36&amp;")**2"</f>
        <v>@r8_1 == @N0_10_1+(@N10_10_1)*((.8*@rmax_1)**2+@H_1)**0.5+(@N20_10_1)*((.8*@rmax_1)**2+@H_1)**1+(@N30_10_1)*((.8*@rmax_1)**2+@H_1)**1.5+(@N40_10_1)*((.8*@rmax_1)**2+@H_1)**2</v>
      </c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</row>
    <row r="239" spans="1:28" x14ac:dyDescent="0.25">
      <c r="A239" s="4" t="str">
        <f>"@r9_"&amp;E36&amp;" == @N0_10_"&amp;E36&amp;"+(@N10_10_"&amp;E36&amp;")*((.9*@rmax_"&amp;E36&amp;")**2+@H_"&amp;E36&amp;")**0.5+(@N20_10_"&amp;E36&amp;")*((.9*@rmax_"&amp;E36&amp;")**2+@H_"&amp;E36&amp;")**1+(@N30_10_"&amp;E36&amp;")*((.9*@rmax_"&amp;E36&amp;")**2+@H_"&amp;E36&amp;")**1.5+(@N40_10_"&amp;E36&amp;")*((.9*@rmax_"&amp;E36&amp;")**2+@H_"&amp;E36&amp;")**2"</f>
        <v>@r9_1 == @N0_10_1+(@N10_10_1)*((.9*@rmax_1)**2+@H_1)**0.5+(@N20_10_1)*((.9*@rmax_1)**2+@H_1)**1+(@N30_10_1)*((.9*@rmax_1)**2+@H_1)**1.5+(@N40_10_1)*((.9*@rmax_1)**2+@H_1)**2</v>
      </c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</row>
    <row r="240" spans="1:28" x14ac:dyDescent="0.25">
      <c r="A240" s="4" t="str">
        <f>"@r10_"&amp;E36&amp;" == @N0_10_"&amp;E36&amp;"+(@N10_10_"&amp;E36&amp;")*((1*@rmax_"&amp;E36&amp;")**2+@H_"&amp;E36&amp;")**0.5+(@N20_10_"&amp;E36&amp;")*((1*@rmax_"&amp;E36&amp;")**2+@H_"&amp;E36&amp;")**1+(@N30_10_"&amp;E36&amp;")*((1*@rmax_"&amp;E36&amp;")**2+@H_"&amp;E36&amp;")**1.5+(@N40_10_"&amp;E36&amp;")*((1*@rmax_"&amp;E36&amp;")**2+@H_"&amp;E36&amp;")**2"</f>
        <v>@r10_1 == @N0_10_1+(@N10_10_1)*((1*@rmax_1)**2+@H_1)**0.5+(@N20_10_1)*((1*@rmax_1)**2+@H_1)**1+(@N30_10_1)*((1*@rmax_1)**2+@H_1)**1.5+(@N40_10_1)*((1*@rmax_1)**2+@H_1)**2</v>
      </c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</row>
    <row r="241" spans="1:28" x14ac:dyDescent="0.25">
      <c r="A241" s="4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</row>
    <row r="242" spans="1:28" x14ac:dyDescent="0.25">
      <c r="A242" s="55" t="str">
        <f>"@nmaxr_"&amp;E36&amp;" == MAXF(@r0_"&amp;E36&amp;",MAXF(@r1_"&amp;E36&amp;",MAXF(@r2_"&amp;E36&amp;",MAXF(@r3_"&amp;E36&amp;",MAXF(@r4_"&amp;E36&amp;",MAXF(@r5_"&amp;E36&amp;",MAXF(@r6_"&amp;E36&amp;",MAXF(@r7_"&amp;E36&amp;",MAXF(@r8_"&amp;E36&amp;",MAXF(@r9_"&amp;E36&amp;",@r10_"&amp;E36&amp;"))))))))))"</f>
        <v>@nmaxr_1 == MAXF(@r0_1,MAXF(@r1_1,MAXF(@r2_1,MAXF(@r3_1,MAXF(@r4_1,MAXF(@r5_1,MAXF(@r6_1,MAXF(@r7_1,MAXF(@r8_1,MAXF(@r9_1,@r10_1))))))))))</v>
      </c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</row>
    <row r="243" spans="1:28" x14ac:dyDescent="0.25">
      <c r="A243" s="55" t="str">
        <f>"@nminr_"&amp;E36&amp;" == MINF(@r0_"&amp;E36&amp;",MINF(@r1_"&amp;E36&amp;",MINF(@r2_"&amp;E36&amp;",MINF(@r3_"&amp;E36&amp;",MINF(@r4_"&amp;E36&amp;",MINF(@r5_"&amp;E36&amp;",MINF(@r6_"&amp;E36&amp;",MINF(@r7_"&amp;E36&amp;",MINF(@r8_"&amp;E36&amp;",MINF(@r9_"&amp;E36&amp;",@r10_"&amp;E36&amp;"))))))))))"</f>
        <v>@nminr_1 == MINF(@r0_1,MINF(@r1_1,MINF(@r2_1,MINF(@r3_1,MINF(@r4_1,MINF(@r5_1,MINF(@r6_1,MINF(@r7_1,MINF(@r8_1,MINF(@r9_1,@r10_1))))))))))</v>
      </c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</row>
    <row r="244" spans="1:28" x14ac:dyDescent="0.25">
      <c r="A244" s="55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</row>
    <row r="245" spans="1:28" x14ac:dyDescent="0.25">
      <c r="A245" s="55" t="str">
        <f>"! Constrain axial line scan indices"</f>
        <v>! Constrain axial line scan indices</v>
      </c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</row>
    <row r="246" spans="1:28" x14ac:dyDescent="0.25">
      <c r="A246" s="55" t="str">
        <f>"@t0_"&amp;E36&amp;" == @N0_10_"&amp;E36&amp;"+(@N10_10_"&amp;E36&amp;")*ABSF((0*@Tmax_"&amp;E36&amp;" - 1/(GRN C5 S'grin"&amp;E36&amp;"' W1)))+(@N20_10_"&amp;E36&amp;")*(0*@Tmax_"&amp;E36&amp;" - 1/(GRN C5 S'grin"&amp;E36&amp;"' W1))**2+(@N30_10_"&amp;E36&amp;")*ABSF((0*@Tmax_"&amp;E36&amp;" - 1/(GRN C5 S'grin"&amp;E36&amp;"' W1)))**3+(@N40_10_"&amp;E36&amp;")*(0*@Tmax_"&amp;E36&amp;" - 1/(GRN C5 S'grin"&amp;E36&amp;"' W1))**4"</f>
        <v>@t0_1 == @N0_10_1+(@N10_10_1)*ABSF((0*@Tmax_1 - 1/(GRN C5 S'grin1' W1)))+(@N20_10_1)*(0*@Tmax_1 - 1/(GRN C5 S'grin1' W1))**2+(@N30_10_1)*ABSF((0*@Tmax_1 - 1/(GRN C5 S'grin1' W1)))**3+(@N40_10_1)*(0*@Tmax_1 - 1/(GRN C5 S'grin1' W1))**4</v>
      </c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</row>
    <row r="247" spans="1:28" x14ac:dyDescent="0.25">
      <c r="A247" s="55" t="str">
        <f>"@t1_"&amp;E36&amp;" == @N0_10_"&amp;E36&amp;"+(@N10_10_"&amp;E36&amp;")*ABSF((.1*@Tmax_"&amp;E36&amp;" - 1/(GRN C5 S'grin"&amp;E36&amp;"' W1)))+(@N20_10_"&amp;E36&amp;")*(.1*@Tmax_"&amp;E36&amp;" - 1/(GRN C5 S'grin"&amp;E36&amp;"' W1))**2+(@N30_10_"&amp;E36&amp;")*ABSF((.1*@Tmax_"&amp;E36&amp;" - 1/(GRN C5 S'grin"&amp;E36&amp;"' W1)))**3+(@N40_10_"&amp;E36&amp;")*(.1*@Tmax_"&amp;E36&amp;" - 1/(GRN C5 S'grin"&amp;E36&amp;"' W1))**4"</f>
        <v>@t1_1 == @N0_10_1+(@N10_10_1)*ABSF((.1*@Tmax_1 - 1/(GRN C5 S'grin1' W1)))+(@N20_10_1)*(.1*@Tmax_1 - 1/(GRN C5 S'grin1' W1))**2+(@N30_10_1)*ABSF((.1*@Tmax_1 - 1/(GRN C5 S'grin1' W1)))**3+(@N40_10_1)*(.1*@Tmax_1 - 1/(GRN C5 S'grin1' W1))**4</v>
      </c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</row>
    <row r="248" spans="1:28" x14ac:dyDescent="0.25">
      <c r="A248" s="55" t="str">
        <f>"@t2_"&amp;E36&amp;" == @N0_10_"&amp;E36&amp;"+(@N10_10_"&amp;E36&amp;")*ABSF((.2*@Tmax_"&amp;E36&amp;" - 1/(GRN C5 S'grin"&amp;E36&amp;"' W1)))+(@N20_10_"&amp;E36&amp;")*(.2*@Tmax_"&amp;E36&amp;" - 1/(GRN C5 S'grin"&amp;E36&amp;"' W1))**2+(@N30_10_"&amp;E36&amp;")*ABSF((.2*@Tmax_"&amp;E36&amp;" - 1/(GRN C5 S'grin"&amp;E36&amp;"' W1)))**3+(@N40_10_"&amp;E36&amp;")*(.2*@Tmax_"&amp;E36&amp;" - 1/(GRN C5 S'grin"&amp;E36&amp;"' W1))**4"</f>
        <v>@t2_1 == @N0_10_1+(@N10_10_1)*ABSF((.2*@Tmax_1 - 1/(GRN C5 S'grin1' W1)))+(@N20_10_1)*(.2*@Tmax_1 - 1/(GRN C5 S'grin1' W1))**2+(@N30_10_1)*ABSF((.2*@Tmax_1 - 1/(GRN C5 S'grin1' W1)))**3+(@N40_10_1)*(.2*@Tmax_1 - 1/(GRN C5 S'grin1' W1))**4</v>
      </c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</row>
    <row r="249" spans="1:28" x14ac:dyDescent="0.25">
      <c r="A249" s="55" t="str">
        <f>"@t3_"&amp;E36&amp;" == @N0_10_"&amp;E36&amp;"+(@N10_10_"&amp;E36&amp;")*ABSF((.3*@Tmax_"&amp;E36&amp;" - 1/(GRN C5 S'grin"&amp;E36&amp;"' W1)))+(@N20_10_"&amp;E36&amp;")*(.3*@Tmax_"&amp;E36&amp;" - 1/(GRN C5 S'grin"&amp;E36&amp;"' W1))**2+(@N30_10_"&amp;E36&amp;")*ABSF((.3*@Tmax_"&amp;E36&amp;" - 1/(GRN C5 S'grin"&amp;E36&amp;"' W1)))**3+(@N40_10_"&amp;E36&amp;")*(.3*@Tmax_"&amp;E36&amp;" - 1/(GRN C5 S'grin"&amp;E36&amp;"' W1))**4"</f>
        <v>@t3_1 == @N0_10_1+(@N10_10_1)*ABSF((.3*@Tmax_1 - 1/(GRN C5 S'grin1' W1)))+(@N20_10_1)*(.3*@Tmax_1 - 1/(GRN C5 S'grin1' W1))**2+(@N30_10_1)*ABSF((.3*@Tmax_1 - 1/(GRN C5 S'grin1' W1)))**3+(@N40_10_1)*(.3*@Tmax_1 - 1/(GRN C5 S'grin1' W1))**4</v>
      </c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</row>
    <row r="250" spans="1:28" x14ac:dyDescent="0.25">
      <c r="A250" s="55" t="str">
        <f>"@t4_"&amp;E36&amp;" == @N0_10_"&amp;E36&amp;"+(@N10_10_"&amp;E36&amp;")*ABSF((.4*@Tmax_"&amp;E36&amp;" - 1/(GRN C5 S'grin"&amp;E36&amp;"' W1)))+(@N20_10_"&amp;E36&amp;")*(.4*@Tmax_"&amp;E36&amp;" - 1/(GRN C5 S'grin"&amp;E36&amp;"' W1))**2+(@N30_10_"&amp;E36&amp;")*ABSF((.4*@Tmax_"&amp;E36&amp;" - 1/(GRN C5 S'grin"&amp;E36&amp;"' W1)))**3+(@N40_10_"&amp;E36&amp;")*(.4*@Tmax_"&amp;E36&amp;" - 1/(GRN C5 S'grin"&amp;E36&amp;"' W1))**4"</f>
        <v>@t4_1 == @N0_10_1+(@N10_10_1)*ABSF((.4*@Tmax_1 - 1/(GRN C5 S'grin1' W1)))+(@N20_10_1)*(.4*@Tmax_1 - 1/(GRN C5 S'grin1' W1))**2+(@N30_10_1)*ABSF((.4*@Tmax_1 - 1/(GRN C5 S'grin1' W1)))**3+(@N40_10_1)*(.4*@Tmax_1 - 1/(GRN C5 S'grin1' W1))**4</v>
      </c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</row>
    <row r="251" spans="1:28" x14ac:dyDescent="0.25">
      <c r="A251" s="55" t="str">
        <f>"@t5_"&amp;E36&amp;" == @N0_10_"&amp;E36&amp;"+(@N10_10_"&amp;E36&amp;")*ABSF((.5*@Tmax_"&amp;E36&amp;" - 1/(GRN C5 S'grin"&amp;E36&amp;"' W1)))+(@N20_10_"&amp;E36&amp;")*(.5*@Tmax_"&amp;E36&amp;" - 1/(GRN C5 S'grin"&amp;E36&amp;"' W1))**2+(@N30_10_"&amp;E36&amp;")*ABSF((.5*@Tmax_"&amp;E36&amp;" - 1/(GRN C5 S'grin"&amp;E36&amp;"' W1)))**3+(@N40_10_"&amp;E36&amp;")*(.5*@Tmax_"&amp;E36&amp;" - 1/(GRN C5 S'grin"&amp;E36&amp;"' W1))**4"</f>
        <v>@t5_1 == @N0_10_1+(@N10_10_1)*ABSF((.5*@Tmax_1 - 1/(GRN C5 S'grin1' W1)))+(@N20_10_1)*(.5*@Tmax_1 - 1/(GRN C5 S'grin1' W1))**2+(@N30_10_1)*ABSF((.5*@Tmax_1 - 1/(GRN C5 S'grin1' W1)))**3+(@N40_10_1)*(.5*@Tmax_1 - 1/(GRN C5 S'grin1' W1))**4</v>
      </c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</row>
    <row r="252" spans="1:28" x14ac:dyDescent="0.25">
      <c r="A252" s="55" t="str">
        <f>"@t6_"&amp;E36&amp;" == @N0_10_"&amp;E36&amp;"+(@N10_10_"&amp;E36&amp;")*ABSF((.6*@Tmax_"&amp;E36&amp;" - 1/(GRN C5 S'grin"&amp;E36&amp;"' W1)))+(@N20_10_"&amp;E36&amp;")*(.6*@Tmax_"&amp;E36&amp;" - 1/(GRN C5 S'grin"&amp;E36&amp;"' W1))**2+(@N30_10_"&amp;E36&amp;")*ABSF((.6*@Tmax_"&amp;E36&amp;" - 1/(GRN C5 S'grin"&amp;E36&amp;"' W1)))**3+(@N40_10_"&amp;E36&amp;")*(.6*@Tmax_"&amp;E36&amp;" - 1/(GRN C5 S'grin"&amp;E36&amp;"' W1))**4"</f>
        <v>@t6_1 == @N0_10_1+(@N10_10_1)*ABSF((.6*@Tmax_1 - 1/(GRN C5 S'grin1' W1)))+(@N20_10_1)*(.6*@Tmax_1 - 1/(GRN C5 S'grin1' W1))**2+(@N30_10_1)*ABSF((.6*@Tmax_1 - 1/(GRN C5 S'grin1' W1)))**3+(@N40_10_1)*(.6*@Tmax_1 - 1/(GRN C5 S'grin1' W1))**4</v>
      </c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</row>
    <row r="253" spans="1:28" x14ac:dyDescent="0.25">
      <c r="A253" s="55" t="str">
        <f>"@t7_"&amp;E36&amp;" == @N0_10_"&amp;E36&amp;"+(@N10_10_"&amp;E36&amp;")*ABSF((.7*@Tmax_"&amp;E36&amp;" - 1/(GRN C5 S'grin"&amp;E36&amp;"' W1)))+(@N20_10_"&amp;E36&amp;")*(.7*@Tmax_"&amp;E36&amp;" - 1/(GRN C5 S'grin"&amp;E36&amp;"' W1))**2+(@N30_10_"&amp;E36&amp;")*ABSF((.7*@Tmax_"&amp;E36&amp;" - 1/(GRN C5 S'grin"&amp;E36&amp;"' W1)))**3+(@N40_10_"&amp;E36&amp;")*(.7*@Tmax_"&amp;E36&amp;" - 1/(GRN C5 S'grin"&amp;E36&amp;"' W1))**4"</f>
        <v>@t7_1 == @N0_10_1+(@N10_10_1)*ABSF((.7*@Tmax_1 - 1/(GRN C5 S'grin1' W1)))+(@N20_10_1)*(.7*@Tmax_1 - 1/(GRN C5 S'grin1' W1))**2+(@N30_10_1)*ABSF((.7*@Tmax_1 - 1/(GRN C5 S'grin1' W1)))**3+(@N40_10_1)*(.7*@Tmax_1 - 1/(GRN C5 S'grin1' W1))**4</v>
      </c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</row>
    <row r="254" spans="1:28" x14ac:dyDescent="0.25">
      <c r="A254" s="55" t="str">
        <f>"@t8_"&amp;E36&amp;" == @N0_10_"&amp;E36&amp;"+(@N10_10_"&amp;E36&amp;")*ABSF((.8*@Tmax_"&amp;E36&amp;" - 1/(GRN C5 S'grin"&amp;E36&amp;"' W1)))+(@N20_10_"&amp;E36&amp;")*(.8*@Tmax_"&amp;E36&amp;" - 1/(GRN C5 S'grin"&amp;E36&amp;"' W1))**2+(@N30_10_"&amp;E36&amp;")*ABSF((.8*@Tmax_"&amp;E36&amp;" - 1/(GRN C5 S'grin"&amp;E36&amp;"' W1)))**3+(@N40_10_"&amp;E36&amp;")*(.8*@Tmax_"&amp;E36&amp;" - 1/(GRN C5 S'grin"&amp;E36&amp;"' W1))**4"</f>
        <v>@t8_1 == @N0_10_1+(@N10_10_1)*ABSF((.8*@Tmax_1 - 1/(GRN C5 S'grin1' W1)))+(@N20_10_1)*(.8*@Tmax_1 - 1/(GRN C5 S'grin1' W1))**2+(@N30_10_1)*ABSF((.8*@Tmax_1 - 1/(GRN C5 S'grin1' W1)))**3+(@N40_10_1)*(.8*@Tmax_1 - 1/(GRN C5 S'grin1' W1))**4</v>
      </c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</row>
    <row r="255" spans="1:28" x14ac:dyDescent="0.25">
      <c r="A255" s="55" t="str">
        <f>"@t9_"&amp;E36&amp;" == @N0_10_"&amp;E36&amp;"+(@N10_10_"&amp;E36&amp;")*ABSF((.9*@Tmax_"&amp;E36&amp;" - 1/(GRN C5 S'grin"&amp;E36&amp;"' W1)))+(@N20_10_"&amp;E36&amp;")*(.9*@Tmax_"&amp;E36&amp;" - 1/(GRN C5 S'grin"&amp;E36&amp;"' W1))**2+(@N30_10_"&amp;E36&amp;")*ABSF((.9*@Tmax_"&amp;E36&amp;" - 1/(GRN C5 S'grin"&amp;E36&amp;"' W1)))**3+(@N40_10_"&amp;E36&amp;")*(.9*@Tmax_"&amp;E36&amp;" - 1/(GRN C5 S'grin"&amp;E36&amp;"' W1))**4"</f>
        <v>@t9_1 == @N0_10_1+(@N10_10_1)*ABSF((.9*@Tmax_1 - 1/(GRN C5 S'grin1' W1)))+(@N20_10_1)*(.9*@Tmax_1 - 1/(GRN C5 S'grin1' W1))**2+(@N30_10_1)*ABSF((.9*@Tmax_1 - 1/(GRN C5 S'grin1' W1)))**3+(@N40_10_1)*(.9*@Tmax_1 - 1/(GRN C5 S'grin1' W1))**4</v>
      </c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</row>
    <row r="256" spans="1:28" x14ac:dyDescent="0.25">
      <c r="A256" s="55" t="str">
        <f>"@t10_"&amp;E36&amp;" == @N0_10_"&amp;E36&amp;"+(@N10_10_"&amp;E36&amp;")*ABSF((1*@Tmax_"&amp;E36&amp;" - 1/(GRN C5 S'grin"&amp;E36&amp;"' W1)))+(@N20_10_"&amp;E36&amp;")*(1*@Tmax_"&amp;E36&amp;" - 1/(GRN C5 S'grin"&amp;E36&amp;"' W1))**2+(@N30_10_"&amp;E36&amp;")*ABSF((1*@Tmax_"&amp;E36&amp;" - 1/(GRN C5 S'grin"&amp;E36&amp;"' W1)))**3+(@N40_10_"&amp;E36&amp;")*(1*@Tmax_"&amp;E36&amp;" - 1/(GRN C5 S'grin"&amp;E36&amp;"' W1))**4"</f>
        <v>@t10_1 == @N0_10_1+(@N10_10_1)*ABSF((1*@Tmax_1 - 1/(GRN C5 S'grin1' W1)))+(@N20_10_1)*(1*@Tmax_1 - 1/(GRN C5 S'grin1' W1))**2+(@N30_10_1)*ABSF((1*@Tmax_1 - 1/(GRN C5 S'grin1' W1)))**3+(@N40_10_1)*(1*@Tmax_1 - 1/(GRN C5 S'grin1' W1))**4</v>
      </c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</row>
    <row r="257" spans="1:28" x14ac:dyDescent="0.25">
      <c r="A257" s="55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</row>
    <row r="258" spans="1:28" x14ac:dyDescent="0.25">
      <c r="A258" s="55" t="str">
        <f>"@nmaxt_"&amp;E36&amp;" == MAXF(@t0_"&amp;E36&amp;",MAXF(@t1_"&amp;E36&amp;",MAXF(@t2_"&amp;E36&amp;",MAXF(@t3_"&amp;E36&amp;",MAXF(@t4_"&amp;E36&amp;",MAXF(@t5_"&amp;E36&amp;",MAXF(@t6_"&amp;E36&amp;",MAXF(@t7_"&amp;E36&amp;",MAXF(@t8_"&amp;E36&amp;",MAXF(@t9_"&amp;E36&amp;",@t10_"&amp;E36&amp;"))))))))))"</f>
        <v>@nmaxt_1 == MAXF(@t0_1,MAXF(@t1_1,MAXF(@t2_1,MAXF(@t3_1,MAXF(@t4_1,MAXF(@t5_1,MAXF(@t6_1,MAXF(@t7_1,MAXF(@t8_1,MAXF(@t9_1,@t10_1))))))))))</v>
      </c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</row>
    <row r="259" spans="1:28" x14ac:dyDescent="0.25">
      <c r="A259" s="55" t="str">
        <f>"@nmint_"&amp;E36&amp;" == MINF(@t0_"&amp;E36&amp;",MINF(@t1_"&amp;E36&amp;",MINF(@t2_"&amp;E36&amp;",MINF(@t3_"&amp;E36&amp;",MINF(@t4_"&amp;E36&amp;",MINF(@t5_"&amp;E36&amp;",MINF(@t6_"&amp;E36&amp;",MINF(@t7_"&amp;E36&amp;",MINF(@t8_"&amp;E36&amp;",MINF(@t9_"&amp;E36&amp;",@t10_"&amp;E36&amp;"))))))))))"</f>
        <v>@nmint_1 == MINF(@t0_1,MINF(@t1_1,MINF(@t2_1,MINF(@t3_1,MINF(@t4_1,MINF(@t5_1,MINF(@t6_1,MINF(@t7_1,MINF(@t8_1,MINF(@t9_1,@t10_1))))))))))</v>
      </c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</row>
    <row r="260" spans="1:28" x14ac:dyDescent="0.25">
      <c r="A260" s="55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</row>
    <row r="261" spans="1:28" x14ac:dyDescent="0.25">
      <c r="A261" s="4" t="s">
        <v>66</v>
      </c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</row>
    <row r="262" spans="1:28" x14ac:dyDescent="0.25">
      <c r="A262" s="55" t="str">
        <f>"@sag_S1_"&amp;E36&amp;" == SAGF((SLB S'grin"&amp;E36&amp;"'),1,0,(MAP s'grin"&amp;E36&amp;"'))"</f>
        <v>@sag_S1_1 == SAGF((SLB S'grin1'),1,0,(MAP s'grin1'))</v>
      </c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</row>
    <row r="263" spans="1:28" x14ac:dyDescent="0.25">
      <c r="A263" s="55" t="str">
        <f>"@rhoE_S1_"&amp;E36&amp;" == SQRTF((MAP s'grin"&amp;E36&amp;"')**2 + (@sag_S1_"&amp;E36&amp;" - 1/(GRN C5 S'grin"&amp;E36&amp;"' W1))**2)"</f>
        <v>@rhoE_S1_1 == SQRTF((MAP s'grin1')**2 + (@sag_S1_1 - 1/(GRN C5 S'grin1' W1))**2)</v>
      </c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</row>
    <row r="264" spans="1:28" x14ac:dyDescent="0.25">
      <c r="A264" s="55" t="str">
        <f>"@EdgeN_S1_"&amp;E36&amp;" == @N0_10_"&amp;E36&amp;"+(@N10_10_"&amp;E36&amp;")*(@rhoE_S1_"&amp;E36&amp;")+(@N20_10_"&amp;E36&amp;")*(@rhoE_S1_"&amp;E36&amp;")**2+(@N30_10_"&amp;E36&amp;")*(@rhoE_S1_"&amp;E36&amp;")**3+(@N40_10_"&amp;E36&amp;")*(@rhoE_S1_"&amp;E36&amp;")**4"</f>
        <v>@EdgeN_S1_1 == @N0_10_1+(@N10_10_1)*(@rhoE_S1_1)+(@N20_10_1)*(@rhoE_S1_1)**2+(@N30_10_1)*(@rhoE_S1_1)**3+(@N40_10_1)*(@rhoE_S1_1)**4</v>
      </c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</row>
    <row r="265" spans="1:28" x14ac:dyDescent="0.25">
      <c r="A265" s="4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</row>
    <row r="266" spans="1:28" x14ac:dyDescent="0.25">
      <c r="A266" s="4" t="s">
        <v>67</v>
      </c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</row>
    <row r="267" spans="1:28" x14ac:dyDescent="0.25">
      <c r="A267" s="4" t="str">
        <f>"@sag_S2_"&amp;E36&amp;" == SAGF((SLB s'grin"&amp;E36&amp;"'+1),1,0,(MAP s'grin"&amp;E36&amp;"'+1))"</f>
        <v>@sag_S2_1 == SAGF((SLB s'grin1'+1),1,0,(MAP s'grin1'+1))</v>
      </c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</row>
    <row r="268" spans="1:28" x14ac:dyDescent="0.25">
      <c r="A268" s="4" t="str">
        <f>"@rhoE_S2_"&amp;E36&amp;" == SQRTF((MAP s'grin"&amp;E36&amp;"'+1)**2 + ((CT s'grin"&amp;E36&amp;"') + @sag_S2_"&amp;E36&amp;" - 1/(GRN C5 s'grin"&amp;E36&amp;"' W1))**2)"</f>
        <v>@rhoE_S2_1 == SQRTF((MAP s'grin1'+1)**2 + ((CT s'grin1') + @sag_S2_1 - 1/(GRN C5 s'grin1' W1))**2)</v>
      </c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</row>
    <row r="269" spans="1:28" x14ac:dyDescent="0.25">
      <c r="A269" s="4" t="str">
        <f>"@EdgeN_S2_"&amp;E36&amp;" == @N0_10_"&amp;E36&amp;"+(@N10_10_"&amp;E36&amp;")*(@rhoE_S2_"&amp;E36&amp;")+(@N20_10_"&amp;E36&amp;")*(@rhoE_S2_"&amp;E36&amp;")**2+(@N30_10_"&amp;E36&amp;")*(@rhoE_S2_"&amp;E36&amp;")**3+(@N40_10_"&amp;E36&amp;")*(@rhoE_S2_"&amp;E36&amp;")**4"</f>
        <v>@EdgeN_S2_1 == @N0_10_1+(@N10_10_1)*(@rhoE_S2_1)+(@N20_10_1)*(@rhoE_S2_1)**2+(@N30_10_1)*(@rhoE_S2_1)**3+(@N40_10_1)*(@rhoE_S2_1)**4</v>
      </c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</row>
    <row r="270" spans="1:28" x14ac:dyDescent="0.25"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</row>
    <row r="271" spans="1:28" x14ac:dyDescent="0.25">
      <c r="A271" s="55" t="str">
        <f>"@nmax_"&amp;E36&amp;" == MAXF(@EdgeN_S2_"&amp;E36&amp;",MAXF(@EdgeN_S1_"&amp;E36&amp;",MAXF((@nmaxr_"&amp;E36&amp;"),(@nmaxt_"&amp;E36&amp;"))))"</f>
        <v>@nmax_1 == MAXF(@EdgeN_S2_1,MAXF(@EdgeN_S1_1,MAXF((@nmaxr_1),(@nmaxt_1))))</v>
      </c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</row>
    <row r="272" spans="1:28" x14ac:dyDescent="0.25">
      <c r="A272" s="55" t="str">
        <f>"@nmin_"&amp;E36&amp;" == MINF(@EdgeN_S2_"&amp;E36&amp;",MINF(@EdgeN_S1_"&amp;E36&amp;",MINF((@nminr_"&amp;E36&amp;"),(@nmint_"&amp;E36&amp;"))))"</f>
        <v>@nmin_1 == MINF(@EdgeN_S2_1,MINF(@EdgeN_S1_1,MINF((@nminr_1),(@nmint_1))))</v>
      </c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</row>
    <row r="273" spans="1:28" x14ac:dyDescent="0.25">
      <c r="A273" s="55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</row>
    <row r="274" spans="1:28" x14ac:dyDescent="0.25">
      <c r="A274" s="4" t="str">
        <f>"@concmin_"&amp;E36&amp;" == ((@nmin_"&amp;E36&amp;")+"&amp;(-D3)&amp;")/"&amp;D2</f>
        <v>@concmin_1 == ((@nmin_1)+-1.4879678621532)/0.0973266889310331</v>
      </c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</row>
    <row r="275" spans="1:28" x14ac:dyDescent="0.25">
      <c r="A275" s="4" t="str">
        <f>"@concmax_"&amp;E36&amp;" == ((@nmax_"&amp;E36&amp;")+"&amp;(-D3)&amp;")/"&amp;D2</f>
        <v>@concmax_1 == ((@nmax_1)+-1.4879678621532)/0.0973266889310331</v>
      </c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</row>
    <row r="276" spans="1:28" x14ac:dyDescent="0.25">
      <c r="A276" s="4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</row>
    <row r="277" spans="1:28" x14ac:dyDescent="0.25">
      <c r="A277" s="4" t="str">
        <f>"! Constrain concentration to be within material bounds"</f>
        <v>! Constrain concentration to be within material bounds</v>
      </c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</row>
    <row r="278" spans="1:28" x14ac:dyDescent="0.25">
      <c r="A278" s="4" t="str">
        <f>"@concmin_"&amp;E36&amp;" &gt; "&amp;C32&amp;" &lt; "&amp;C33</f>
        <v>@concmin_1 &gt; 0 &lt; 1</v>
      </c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</row>
    <row r="279" spans="1:28" x14ac:dyDescent="0.25">
      <c r="A279" s="4" t="str">
        <f>"@concmax_"&amp;E36&amp;" &gt; "&amp;C32&amp;" &lt; "&amp;C33</f>
        <v>@concmax_1 &gt; 0 &lt; 1</v>
      </c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</row>
    <row r="280" spans="1:28" x14ac:dyDescent="0.25">
      <c r="A280" s="4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</row>
    <row r="281" spans="1:28" x14ac:dyDescent="0.25">
      <c r="A281" s="4" t="str">
        <f>"! END CONSTRAINTS FOR SPHERICAL GRADIENT ON ELEMENT grin"&amp;E36</f>
        <v>! END CONSTRAINTS FOR SPHERICAL GRADIENT ON ELEMENT grin1</v>
      </c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</row>
    <row r="282" spans="1:28" x14ac:dyDescent="0.25"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</row>
    <row r="283" spans="1:28" x14ac:dyDescent="0.25"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</row>
    <row r="284" spans="1:28" x14ac:dyDescent="0.25"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</row>
    <row r="285" spans="1:28" x14ac:dyDescent="0.25"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0"/>
  <sheetViews>
    <sheetView workbookViewId="0">
      <selection activeCell="D1" sqref="D1"/>
    </sheetView>
  </sheetViews>
  <sheetFormatPr defaultRowHeight="15" x14ac:dyDescent="0.25"/>
  <cols>
    <col min="1" max="1" width="16.7109375" style="30" customWidth="1"/>
    <col min="2" max="2" width="10" style="30" customWidth="1"/>
    <col min="3" max="3" width="16.140625" style="30" customWidth="1"/>
    <col min="4" max="4" width="12.85546875" style="30" customWidth="1"/>
    <col min="5" max="5" width="12.42578125" style="30" customWidth="1"/>
    <col min="6" max="6" width="11.7109375" style="30" customWidth="1"/>
    <col min="7" max="7" width="11.42578125" style="30" customWidth="1"/>
    <col min="8" max="8" width="11.5703125" style="30" customWidth="1"/>
    <col min="9" max="9" width="12.140625" style="30" customWidth="1"/>
    <col min="10" max="10" width="11.140625" style="30" customWidth="1"/>
    <col min="11" max="11" width="11.28515625" style="30" bestFit="1" customWidth="1"/>
    <col min="12" max="12" width="11.140625" style="30" customWidth="1"/>
    <col min="13" max="13" width="11" style="30" customWidth="1"/>
    <col min="14" max="15" width="9.140625" style="30"/>
    <col min="16" max="16" width="11" style="30" bestFit="1" customWidth="1"/>
    <col min="17" max="20" width="9.140625" style="30"/>
    <col min="21" max="21" width="23" style="30" customWidth="1"/>
    <col min="22" max="26" width="9.140625" style="30"/>
    <col min="27" max="27" width="10.5703125" style="30" bestFit="1" customWidth="1"/>
    <col min="28" max="16384" width="9.140625" style="30"/>
  </cols>
  <sheetData>
    <row r="1" spans="1:32" ht="15.75" thickBot="1" x14ac:dyDescent="0.3">
      <c r="A1" s="30" t="s">
        <v>28</v>
      </c>
      <c r="C1" s="57" t="s">
        <v>29</v>
      </c>
      <c r="D1" s="36">
        <v>0.65627250000000004</v>
      </c>
      <c r="E1" s="37">
        <v>0.58756180000000002</v>
      </c>
      <c r="F1" s="37">
        <v>0.48613269999999997</v>
      </c>
      <c r="G1" s="37">
        <v>0</v>
      </c>
      <c r="H1" s="37">
        <v>0</v>
      </c>
      <c r="I1" s="37">
        <v>0</v>
      </c>
      <c r="J1" s="37">
        <v>0</v>
      </c>
      <c r="K1" s="37">
        <v>0</v>
      </c>
      <c r="L1" s="37">
        <v>0</v>
      </c>
      <c r="M1" s="38">
        <v>0</v>
      </c>
    </row>
    <row r="2" spans="1:32" x14ac:dyDescent="0.25">
      <c r="A2" s="30" t="s">
        <v>114</v>
      </c>
      <c r="C2" s="57" t="s">
        <v>78</v>
      </c>
      <c r="D2" s="57">
        <v>9.7316878987374844E-2</v>
      </c>
      <c r="E2" s="57">
        <v>0.10030208410158159</v>
      </c>
      <c r="F2" s="57">
        <v>0.10829635859556097</v>
      </c>
      <c r="G2" s="57">
        <v>1</v>
      </c>
      <c r="H2" s="57">
        <v>1</v>
      </c>
      <c r="I2" s="57">
        <v>1</v>
      </c>
      <c r="J2" s="57">
        <v>1</v>
      </c>
      <c r="K2" s="57">
        <v>1</v>
      </c>
      <c r="L2" s="57">
        <v>1</v>
      </c>
      <c r="M2" s="57">
        <v>1</v>
      </c>
    </row>
    <row r="3" spans="1:32" x14ac:dyDescent="0.25">
      <c r="A3" s="12"/>
      <c r="B3" s="12"/>
      <c r="C3" s="73" t="s">
        <v>76</v>
      </c>
      <c r="D3" s="57">
        <v>1.4879565383710363</v>
      </c>
      <c r="E3" s="57">
        <v>1.4914020032805444</v>
      </c>
      <c r="F3" s="57">
        <v>1.4972978569335089</v>
      </c>
      <c r="G3" s="57">
        <v>1</v>
      </c>
      <c r="H3" s="57">
        <v>1</v>
      </c>
      <c r="I3" s="57">
        <v>1</v>
      </c>
      <c r="J3" s="57">
        <v>1</v>
      </c>
      <c r="K3" s="57">
        <v>1</v>
      </c>
      <c r="L3" s="57">
        <v>1</v>
      </c>
      <c r="M3" s="57">
        <v>1</v>
      </c>
    </row>
    <row r="5" spans="1:32" x14ac:dyDescent="0.25">
      <c r="A5" s="1" t="s">
        <v>22</v>
      </c>
      <c r="C5" s="15"/>
      <c r="D5" s="30" t="s">
        <v>18</v>
      </c>
    </row>
    <row r="6" spans="1:32" ht="15.75" thickBot="1" x14ac:dyDescent="0.3">
      <c r="C6" s="28" t="s">
        <v>49</v>
      </c>
      <c r="D6" s="29" t="str">
        <f>D1&amp;" um"</f>
        <v>0.6562725 um</v>
      </c>
      <c r="E6" s="29" t="str">
        <f t="shared" ref="E6:M6" si="0">E1&amp;" um"</f>
        <v>0.5875618 um</v>
      </c>
      <c r="F6" s="29" t="str">
        <f t="shared" si="0"/>
        <v>0.4861327 um</v>
      </c>
      <c r="G6" s="29" t="str">
        <f t="shared" si="0"/>
        <v>0 um</v>
      </c>
      <c r="H6" s="29" t="str">
        <f t="shared" si="0"/>
        <v>0 um</v>
      </c>
      <c r="I6" s="29" t="str">
        <f t="shared" si="0"/>
        <v>0 um</v>
      </c>
      <c r="J6" s="29" t="str">
        <f t="shared" si="0"/>
        <v>0 um</v>
      </c>
      <c r="K6" s="29" t="str">
        <f t="shared" si="0"/>
        <v>0 um</v>
      </c>
      <c r="L6" s="29" t="str">
        <f t="shared" si="0"/>
        <v>0 um</v>
      </c>
      <c r="M6" s="29" t="str">
        <f t="shared" si="0"/>
        <v>0 um</v>
      </c>
      <c r="AD6" s="10"/>
    </row>
    <row r="7" spans="1:32" ht="30" customHeight="1" thickBot="1" x14ac:dyDescent="0.3">
      <c r="A7" s="30" t="s">
        <v>21</v>
      </c>
      <c r="C7" s="20">
        <v>1</v>
      </c>
      <c r="D7" s="67">
        <f>D$2*$C7+D$3</f>
        <v>1.5852734173584111</v>
      </c>
      <c r="E7" s="67">
        <f>E$2*$C7+E$3</f>
        <v>1.591704087382126</v>
      </c>
      <c r="F7" s="67">
        <f>F$2*$C7+F$3</f>
        <v>1.6055942155290699</v>
      </c>
      <c r="G7" s="67">
        <f>G$2*$C7+G$3</f>
        <v>2</v>
      </c>
      <c r="H7" s="67">
        <f>H$2*$C7+H$3</f>
        <v>2</v>
      </c>
      <c r="I7" s="67">
        <f t="shared" ref="I7:M9" si="1">I$2*$C7+I$3</f>
        <v>2</v>
      </c>
      <c r="J7" s="67">
        <f t="shared" si="1"/>
        <v>2</v>
      </c>
      <c r="K7" s="67">
        <f t="shared" si="1"/>
        <v>2</v>
      </c>
      <c r="L7" s="67">
        <f t="shared" si="1"/>
        <v>2</v>
      </c>
      <c r="M7" s="67">
        <f t="shared" si="1"/>
        <v>2</v>
      </c>
    </row>
    <row r="8" spans="1:32" ht="30" customHeight="1" x14ac:dyDescent="0.25">
      <c r="A8" s="30" t="s">
        <v>19</v>
      </c>
      <c r="C8" s="13">
        <f>MAX(AA9:AA50)</f>
        <v>1.0277888431828117</v>
      </c>
      <c r="D8" s="67">
        <f>D$2*$C8+D$3</f>
        <v>1.5879777408476319</v>
      </c>
      <c r="E8" s="67">
        <f t="shared" ref="E8:H9" si="2">E$2*$C8+E$3</f>
        <v>1.5944913662681341</v>
      </c>
      <c r="F8" s="67">
        <f t="shared" si="2"/>
        <v>1.6086036460553514</v>
      </c>
      <c r="G8" s="67">
        <f t="shared" si="2"/>
        <v>2.0277888431828117</v>
      </c>
      <c r="H8" s="67">
        <f t="shared" si="2"/>
        <v>2.0277888431828117</v>
      </c>
      <c r="I8" s="67">
        <f t="shared" si="1"/>
        <v>2.0277888431828117</v>
      </c>
      <c r="J8" s="67">
        <f t="shared" si="1"/>
        <v>2.0277888431828117</v>
      </c>
      <c r="K8" s="67">
        <f t="shared" si="1"/>
        <v>2.0277888431828117</v>
      </c>
      <c r="L8" s="67">
        <f t="shared" si="1"/>
        <v>2.0277888431828117</v>
      </c>
      <c r="M8" s="67">
        <f t="shared" si="1"/>
        <v>2.0277888431828117</v>
      </c>
      <c r="Z8" s="30" t="s">
        <v>7</v>
      </c>
      <c r="AA8" s="30" t="s">
        <v>48</v>
      </c>
    </row>
    <row r="9" spans="1:32" ht="30" customHeight="1" x14ac:dyDescent="0.25">
      <c r="A9" s="30" t="s">
        <v>20</v>
      </c>
      <c r="C9" s="14">
        <f>MIN(AA9:AA50)</f>
        <v>1</v>
      </c>
      <c r="D9" s="67">
        <f>D$2*$C9+D$3</f>
        <v>1.5852734173584111</v>
      </c>
      <c r="E9" s="67">
        <f t="shared" si="2"/>
        <v>1.591704087382126</v>
      </c>
      <c r="F9" s="67">
        <f t="shared" si="2"/>
        <v>1.6055942155290699</v>
      </c>
      <c r="G9" s="67">
        <f t="shared" si="2"/>
        <v>2</v>
      </c>
      <c r="H9" s="67">
        <f t="shared" si="2"/>
        <v>2</v>
      </c>
      <c r="I9" s="67">
        <f t="shared" si="1"/>
        <v>2</v>
      </c>
      <c r="J9" s="67">
        <f t="shared" si="1"/>
        <v>2</v>
      </c>
      <c r="K9" s="67">
        <f t="shared" si="1"/>
        <v>2</v>
      </c>
      <c r="L9" s="67">
        <f t="shared" si="1"/>
        <v>2</v>
      </c>
      <c r="M9" s="67">
        <f t="shared" si="1"/>
        <v>2</v>
      </c>
      <c r="Z9" s="30">
        <f>0*$B$13/51</f>
        <v>0</v>
      </c>
      <c r="AA9" s="11">
        <f>$P$16 + $P$17*Z9^2 + $P$18*Z9^4 + $P$19*Z9^6+$P$20*Z9^8</f>
        <v>1</v>
      </c>
      <c r="AB9" s="10"/>
      <c r="AC9" s="10"/>
      <c r="AD9" s="10"/>
      <c r="AE9" s="10"/>
      <c r="AF9" s="10"/>
    </row>
    <row r="10" spans="1:32" ht="16.5" customHeight="1" x14ac:dyDescent="0.25">
      <c r="A10" s="2"/>
      <c r="B10" s="3"/>
      <c r="D10" s="67"/>
      <c r="E10" s="67"/>
      <c r="F10" s="67"/>
      <c r="G10" s="67"/>
      <c r="H10" s="67"/>
      <c r="I10" s="67"/>
      <c r="J10" s="67"/>
      <c r="K10" s="67"/>
      <c r="L10" s="67"/>
      <c r="M10" s="67"/>
      <c r="Z10" s="30">
        <f>1*$B$13/51</f>
        <v>0.11764705882352941</v>
      </c>
      <c r="AA10" s="11">
        <f t="shared" ref="AA10:AA64" si="3">$P$16 + $P$17*Z10^2 + $P$18*Z10^4 + $P$19*Z10^6+$P$20*Z10^8</f>
        <v>1.0000100183406695</v>
      </c>
      <c r="AB10" s="10"/>
      <c r="AC10" s="10"/>
      <c r="AD10" s="10"/>
      <c r="AE10" s="10"/>
      <c r="AF10" s="10"/>
    </row>
    <row r="11" spans="1:32" ht="15" customHeight="1" x14ac:dyDescent="0.25">
      <c r="C11" s="16" t="s">
        <v>26</v>
      </c>
      <c r="D11" s="67">
        <f>D8-D9</f>
        <v>2.7043234892207835E-3</v>
      </c>
      <c r="E11" s="67">
        <f t="shared" ref="E11:M11" si="4">E8-E9</f>
        <v>2.7872788860081599E-3</v>
      </c>
      <c r="F11" s="67">
        <f t="shared" si="4"/>
        <v>3.0094305262815535E-3</v>
      </c>
      <c r="G11" s="67">
        <f t="shared" si="4"/>
        <v>2.7788843182811718E-2</v>
      </c>
      <c r="H11" s="67">
        <f t="shared" si="4"/>
        <v>2.7788843182811718E-2</v>
      </c>
      <c r="I11" s="67">
        <f t="shared" si="4"/>
        <v>2.7788843182811718E-2</v>
      </c>
      <c r="J11" s="67">
        <f t="shared" si="4"/>
        <v>2.7788843182811718E-2</v>
      </c>
      <c r="K11" s="67">
        <f t="shared" si="4"/>
        <v>2.7788843182811718E-2</v>
      </c>
      <c r="L11" s="67">
        <f t="shared" si="4"/>
        <v>2.7788843182811718E-2</v>
      </c>
      <c r="M11" s="67">
        <f t="shared" si="4"/>
        <v>2.7788843182811718E-2</v>
      </c>
      <c r="Z11" s="30">
        <f>2*$B$13/51</f>
        <v>0.23529411764705882</v>
      </c>
      <c r="AA11" s="11">
        <f t="shared" si="3"/>
        <v>1.0000400768560074</v>
      </c>
      <c r="AB11" s="10"/>
      <c r="AC11" s="10"/>
      <c r="AD11" s="10"/>
      <c r="AE11" s="10"/>
      <c r="AF11" s="10"/>
    </row>
    <row r="12" spans="1:32" ht="15.75" thickBot="1" x14ac:dyDescent="0.3">
      <c r="Z12" s="30">
        <f>3*$B$13/51</f>
        <v>0.35294117647058826</v>
      </c>
      <c r="AA12" s="11">
        <f t="shared" si="3"/>
        <v>1.0000901860191012</v>
      </c>
      <c r="AB12" s="10"/>
      <c r="AC12" s="10"/>
      <c r="AD12" s="10"/>
      <c r="AE12" s="10"/>
      <c r="AF12" s="10"/>
    </row>
    <row r="13" spans="1:32" ht="15.75" thickBot="1" x14ac:dyDescent="0.3">
      <c r="A13" s="30" t="s">
        <v>6</v>
      </c>
      <c r="B13" s="21">
        <v>6</v>
      </c>
      <c r="Z13" s="30">
        <f>4*$B$13/51</f>
        <v>0.47058823529411764</v>
      </c>
      <c r="AA13" s="11">
        <f t="shared" si="3"/>
        <v>1.0001603632621363</v>
      </c>
      <c r="AB13" s="10"/>
      <c r="AC13" s="10"/>
      <c r="AD13" s="10"/>
      <c r="AE13" s="10"/>
      <c r="AF13" s="10"/>
    </row>
    <row r="14" spans="1:32" x14ac:dyDescent="0.25">
      <c r="Z14" s="30">
        <f>5*$B$13/51</f>
        <v>0.58823529411764708</v>
      </c>
      <c r="AA14" s="11">
        <f t="shared" si="3"/>
        <v>1.0002506329421053</v>
      </c>
      <c r="AB14" s="10"/>
      <c r="AC14" s="10"/>
      <c r="AD14" s="10"/>
      <c r="AE14" s="10"/>
      <c r="AF14" s="10"/>
    </row>
    <row r="15" spans="1:32" ht="35.25" customHeight="1" thickBot="1" x14ac:dyDescent="0.3">
      <c r="C15" s="8" t="s">
        <v>16</v>
      </c>
      <c r="O15" s="30" t="s">
        <v>43</v>
      </c>
      <c r="Z15" s="30">
        <f>6*$B$13/51</f>
        <v>0.70588235294117652</v>
      </c>
      <c r="AA15" s="11">
        <f t="shared" si="3"/>
        <v>1.0003610262931146</v>
      </c>
      <c r="AB15" s="10"/>
      <c r="AC15" s="10"/>
      <c r="AD15" s="10"/>
      <c r="AE15" s="10"/>
      <c r="AF15" s="10"/>
    </row>
    <row r="16" spans="1:32" ht="15.75" thickBot="1" x14ac:dyDescent="0.3">
      <c r="A16" s="30" t="s">
        <v>0</v>
      </c>
      <c r="C16" s="23" t="s">
        <v>15</v>
      </c>
      <c r="D16" s="67">
        <f>D$2*$C$7+D$3</f>
        <v>1.5852734173584111</v>
      </c>
      <c r="E16" s="67">
        <f>E$2*$C$7+E$3</f>
        <v>1.591704087382126</v>
      </c>
      <c r="F16" s="78">
        <f>F$2*$C$7+F$3</f>
        <v>1.6055942155290699</v>
      </c>
      <c r="G16" s="67">
        <f>G$2*$C$7+G$3</f>
        <v>2</v>
      </c>
      <c r="H16" s="67">
        <f>H$2*$C$7+H$3</f>
        <v>2</v>
      </c>
      <c r="I16" s="67">
        <f t="shared" ref="I16:M16" si="5">I$2*$C$7+I$3</f>
        <v>2</v>
      </c>
      <c r="J16" s="67">
        <f t="shared" si="5"/>
        <v>2</v>
      </c>
      <c r="K16" s="67">
        <f t="shared" si="5"/>
        <v>2</v>
      </c>
      <c r="L16" s="67">
        <f t="shared" si="5"/>
        <v>2</v>
      </c>
      <c r="M16" s="67">
        <f t="shared" si="5"/>
        <v>2</v>
      </c>
      <c r="O16" s="30" t="s">
        <v>31</v>
      </c>
      <c r="P16" s="30">
        <f>(D16-D3)/D2</f>
        <v>1</v>
      </c>
      <c r="Z16" s="30">
        <f>7*$B$13/51</f>
        <v>0.82352941176470584</v>
      </c>
      <c r="AA16" s="11">
        <f t="shared" si="3"/>
        <v>1.0004915813655859</v>
      </c>
      <c r="AB16" s="10"/>
      <c r="AC16" s="10"/>
      <c r="AD16" s="10"/>
      <c r="AE16" s="10"/>
      <c r="AF16" s="10"/>
    </row>
    <row r="17" spans="1:32" ht="15.75" thickBot="1" x14ac:dyDescent="0.3">
      <c r="A17" s="30" t="s">
        <v>8</v>
      </c>
      <c r="C17" s="24" t="s">
        <v>15</v>
      </c>
      <c r="D17" s="82">
        <f>S17/$D$22*$D$21</f>
        <v>7.0438353583199997E-5</v>
      </c>
      <c r="E17" s="67">
        <f>E2*$D$17/$D$2</f>
        <v>7.259905720975332E-5</v>
      </c>
      <c r="F17" s="67">
        <f>F2*$D$17/$D$2</f>
        <v>7.8385345665645225E-5</v>
      </c>
      <c r="G17" s="67">
        <f>G2*$D$17/$D$2</f>
        <v>7.238040750601767E-4</v>
      </c>
      <c r="H17" s="67">
        <f>H2*$D$17/$D$2</f>
        <v>7.238040750601767E-4</v>
      </c>
      <c r="I17" s="67">
        <f t="shared" ref="I17:M17" si="6">I2*$D$17/$D$2</f>
        <v>7.238040750601767E-4</v>
      </c>
      <c r="J17" s="67">
        <f t="shared" si="6"/>
        <v>7.238040750601767E-4</v>
      </c>
      <c r="K17" s="67">
        <f t="shared" si="6"/>
        <v>7.238040750601767E-4</v>
      </c>
      <c r="L17" s="67">
        <f t="shared" si="6"/>
        <v>7.238040750601767E-4</v>
      </c>
      <c r="M17" s="67">
        <f t="shared" si="6"/>
        <v>7.238040750601767E-4</v>
      </c>
      <c r="O17" s="30" t="s">
        <v>32</v>
      </c>
      <c r="P17" s="11">
        <f>D17/D2</f>
        <v>7.238040750601767E-4</v>
      </c>
      <c r="R17" s="30" t="s">
        <v>115</v>
      </c>
      <c r="S17" s="30">
        <v>0.49306847508239998</v>
      </c>
      <c r="U17" s="11">
        <f t="shared" ref="U17:U20" si="7">D17</f>
        <v>7.0438353583199997E-5</v>
      </c>
      <c r="Z17" s="30">
        <f>8*$B$13/51</f>
        <v>0.94117647058823528</v>
      </c>
      <c r="AA17" s="11">
        <f t="shared" si="3"/>
        <v>1.0006423429527544</v>
      </c>
      <c r="AB17" s="10"/>
      <c r="AC17" s="10"/>
      <c r="AD17" s="10"/>
      <c r="AE17" s="10"/>
      <c r="AF17" s="10"/>
    </row>
    <row r="18" spans="1:32" ht="15.75" thickBot="1" x14ac:dyDescent="0.3">
      <c r="A18" s="30" t="s">
        <v>9</v>
      </c>
      <c r="C18" s="24" t="s">
        <v>15</v>
      </c>
      <c r="D18" s="82">
        <f>S18/$D$22^3*$D$21</f>
        <v>1.4793309667630394E-7</v>
      </c>
      <c r="E18" s="67">
        <f>E2*$D$18/$D$2</f>
        <v>1.524709593919366E-7</v>
      </c>
      <c r="F18" s="67">
        <f t="shared" ref="F18:M18" si="8">F2*$D$18/$D$2</f>
        <v>1.6462319643324354E-7</v>
      </c>
      <c r="G18" s="67">
        <f t="shared" si="8"/>
        <v>1.520117560443915E-6</v>
      </c>
      <c r="H18" s="67">
        <f t="shared" si="8"/>
        <v>1.520117560443915E-6</v>
      </c>
      <c r="I18" s="67">
        <f t="shared" si="8"/>
        <v>1.520117560443915E-6</v>
      </c>
      <c r="J18" s="67">
        <f t="shared" si="8"/>
        <v>1.520117560443915E-6</v>
      </c>
      <c r="K18" s="67">
        <f t="shared" si="8"/>
        <v>1.520117560443915E-6</v>
      </c>
      <c r="L18" s="67">
        <f t="shared" si="8"/>
        <v>1.520117560443915E-6</v>
      </c>
      <c r="M18" s="67">
        <f t="shared" si="8"/>
        <v>1.520117560443915E-6</v>
      </c>
      <c r="O18" s="30" t="s">
        <v>33</v>
      </c>
      <c r="P18" s="31">
        <f>D18/D2</f>
        <v>1.520117560443915E-6</v>
      </c>
      <c r="R18" s="30" t="s">
        <v>116</v>
      </c>
      <c r="S18" s="30">
        <v>0.20296420863988901</v>
      </c>
      <c r="U18" s="11">
        <f t="shared" si="7"/>
        <v>1.4793309667630394E-7</v>
      </c>
      <c r="Z18" s="30">
        <f>9*$B$13/51</f>
        <v>1.0588235294117647</v>
      </c>
      <c r="AA18" s="11">
        <f t="shared" si="3"/>
        <v>1.0008133625049451</v>
      </c>
      <c r="AB18" s="10"/>
      <c r="AC18" s="10"/>
      <c r="AD18" s="10"/>
      <c r="AE18" s="10"/>
      <c r="AF18" s="10"/>
    </row>
    <row r="19" spans="1:32" x14ac:dyDescent="0.25">
      <c r="A19" s="30" t="s">
        <v>17</v>
      </c>
      <c r="C19" s="75" t="s">
        <v>15</v>
      </c>
      <c r="D19" s="83">
        <f>S19/$D$22^5*$D$21</f>
        <v>-7.0475519239122781E-10</v>
      </c>
      <c r="E19" s="67">
        <f>E2*$D$19/$D$2</f>
        <v>-7.2637362925933771E-10</v>
      </c>
      <c r="F19" s="67">
        <f t="shared" ref="F19:M19" si="9">F2*$D$19/$D$2</f>
        <v>-7.8426704423171515E-10</v>
      </c>
      <c r="G19" s="67">
        <f t="shared" si="9"/>
        <v>-7.2418597855224827E-9</v>
      </c>
      <c r="H19" s="67">
        <f t="shared" si="9"/>
        <v>-7.2418597855224827E-9</v>
      </c>
      <c r="I19" s="67">
        <f t="shared" si="9"/>
        <v>-7.2418597855224827E-9</v>
      </c>
      <c r="J19" s="67">
        <f t="shared" si="9"/>
        <v>-7.2418597855224827E-9</v>
      </c>
      <c r="K19" s="67">
        <f t="shared" si="9"/>
        <v>-7.2418597855224827E-9</v>
      </c>
      <c r="L19" s="67">
        <f t="shared" si="9"/>
        <v>-7.2418597855224827E-9</v>
      </c>
      <c r="M19" s="67">
        <f t="shared" si="9"/>
        <v>-7.2418597855224827E-9</v>
      </c>
      <c r="O19" s="30" t="s">
        <v>34</v>
      </c>
      <c r="P19" s="31">
        <f>D19/D2</f>
        <v>-7.2418597855224827E-9</v>
      </c>
      <c r="R19" s="30" t="s">
        <v>117</v>
      </c>
      <c r="S19" s="30">
        <v>-0.18951712829630984</v>
      </c>
      <c r="U19" s="11">
        <f t="shared" si="7"/>
        <v>-7.0475519239122781E-10</v>
      </c>
      <c r="Z19" s="30">
        <f>10*$B$13/51</f>
        <v>1.1764705882352942</v>
      </c>
      <c r="AA19" s="11">
        <f t="shared" si="3"/>
        <v>1.0010046980321967</v>
      </c>
      <c r="AB19" s="10"/>
      <c r="AC19" s="10"/>
      <c r="AD19" s="10"/>
      <c r="AE19" s="10"/>
      <c r="AF19" s="10"/>
    </row>
    <row r="20" spans="1:32" x14ac:dyDescent="0.25">
      <c r="A20" s="30" t="s">
        <v>118</v>
      </c>
      <c r="C20" s="77" t="s">
        <v>119</v>
      </c>
      <c r="D20" s="84">
        <f>S20/$D$22^7*$D$21</f>
        <v>5.776632985963354E-12</v>
      </c>
      <c r="E20" s="67">
        <f>E2*$D$20/$D$2</f>
        <v>5.9538317875692943E-12</v>
      </c>
      <c r="F20" s="67">
        <f>F2*$D$20/$D$2</f>
        <v>6.4283639573356297E-12</v>
      </c>
      <c r="G20" s="67">
        <f>G3*$D$20/$D$2</f>
        <v>5.9359003762469306E-11</v>
      </c>
      <c r="H20" s="67">
        <f t="shared" ref="H20:M20" si="10">H3*$D$20/$D$2</f>
        <v>5.9359003762469306E-11</v>
      </c>
      <c r="I20" s="67">
        <f t="shared" si="10"/>
        <v>5.9359003762469306E-11</v>
      </c>
      <c r="J20" s="67">
        <f t="shared" si="10"/>
        <v>5.9359003762469306E-11</v>
      </c>
      <c r="K20" s="67">
        <f t="shared" si="10"/>
        <v>5.9359003762469306E-11</v>
      </c>
      <c r="L20" s="67">
        <f t="shared" si="10"/>
        <v>5.9359003762469306E-11</v>
      </c>
      <c r="M20" s="67">
        <f t="shared" si="10"/>
        <v>5.9359003762469306E-11</v>
      </c>
      <c r="O20" s="30" t="s">
        <v>120</v>
      </c>
      <c r="P20" s="31">
        <f>D20/D2</f>
        <v>5.9359003762469306E-11</v>
      </c>
      <c r="R20" s="30" t="s">
        <v>121</v>
      </c>
      <c r="S20" s="30">
        <v>0.30446756218618998</v>
      </c>
      <c r="U20" s="11">
        <f t="shared" si="7"/>
        <v>5.776632985963354E-12</v>
      </c>
      <c r="AA20" s="11">
        <f t="shared" si="3"/>
        <v>1</v>
      </c>
      <c r="AB20" s="10"/>
      <c r="AC20" s="10"/>
      <c r="AD20" s="10"/>
      <c r="AE20" s="10"/>
      <c r="AF20" s="10"/>
    </row>
    <row r="21" spans="1:32" x14ac:dyDescent="0.25">
      <c r="A21" s="30" t="s">
        <v>1</v>
      </c>
      <c r="C21" s="39" t="s">
        <v>119</v>
      </c>
      <c r="D21" s="81">
        <v>-2E-3</v>
      </c>
      <c r="E21" s="67">
        <f>E2*$D$21/$D$2</f>
        <v>-2.061350202457562E-3</v>
      </c>
      <c r="F21" s="67">
        <f>F2*$D$21/$D$2</f>
        <v>-2.2256438908117987E-3</v>
      </c>
      <c r="G21" s="67">
        <f t="shared" ref="G21:M21" si="11">G2*$D$21/$D$2</f>
        <v>-2.0551419453756475E-2</v>
      </c>
      <c r="H21" s="67">
        <f t="shared" si="11"/>
        <v>-2.0551419453756475E-2</v>
      </c>
      <c r="I21" s="67">
        <f t="shared" si="11"/>
        <v>-2.0551419453756475E-2</v>
      </c>
      <c r="J21" s="67">
        <f t="shared" si="11"/>
        <v>-2.0551419453756475E-2</v>
      </c>
      <c r="K21" s="67">
        <f t="shared" si="11"/>
        <v>-2.0551419453756475E-2</v>
      </c>
      <c r="L21" s="67">
        <f t="shared" si="11"/>
        <v>-2.0551419453756475E-2</v>
      </c>
      <c r="M21" s="67">
        <f t="shared" si="11"/>
        <v>-2.0551419453756475E-2</v>
      </c>
      <c r="O21" s="30" t="s">
        <v>122</v>
      </c>
      <c r="P21" s="31">
        <f>D21/D2</f>
        <v>-2.0551419453756475E-2</v>
      </c>
      <c r="Z21" s="30">
        <f>11*$B$13/51</f>
        <v>1.2941176470588236</v>
      </c>
      <c r="AA21" s="11">
        <f t="shared" si="3"/>
        <v>1.0012164139958939</v>
      </c>
      <c r="AB21" s="10"/>
      <c r="AC21" s="10"/>
      <c r="AD21" s="10"/>
      <c r="AE21" s="10"/>
      <c r="AF21" s="10"/>
    </row>
    <row r="22" spans="1:32" x14ac:dyDescent="0.25">
      <c r="A22" s="30" t="s">
        <v>123</v>
      </c>
      <c r="C22" s="39" t="s">
        <v>119</v>
      </c>
      <c r="D22" s="76">
        <v>-14</v>
      </c>
      <c r="E22" s="11"/>
      <c r="F22" s="11"/>
      <c r="G22" s="11"/>
      <c r="H22" s="11"/>
      <c r="I22" s="11"/>
      <c r="J22" s="11"/>
      <c r="K22" s="11"/>
      <c r="L22" s="11"/>
      <c r="M22" s="11"/>
      <c r="P22" s="31"/>
      <c r="AA22" s="11">
        <f t="shared" si="3"/>
        <v>1</v>
      </c>
      <c r="AB22" s="10"/>
      <c r="AC22" s="10"/>
      <c r="AD22" s="10"/>
      <c r="AE22" s="10"/>
      <c r="AF22" s="10"/>
    </row>
    <row r="23" spans="1:32" ht="15.75" thickBot="1" x14ac:dyDescent="0.3">
      <c r="A23" s="30" t="s">
        <v>30</v>
      </c>
      <c r="G23" s="11"/>
      <c r="H23" s="11"/>
      <c r="I23" s="11"/>
      <c r="J23" s="11"/>
      <c r="K23" s="11"/>
      <c r="L23" s="11"/>
      <c r="M23" s="11"/>
      <c r="P23" s="31"/>
      <c r="Z23" s="30">
        <f>12*$B$13/51</f>
        <v>1.411764705882353</v>
      </c>
      <c r="AA23" s="11">
        <f t="shared" si="3"/>
        <v>1.0014485811901543</v>
      </c>
      <c r="AB23" s="10"/>
      <c r="AC23" s="10"/>
      <c r="AD23" s="10"/>
      <c r="AE23" s="10"/>
      <c r="AF23" s="10"/>
    </row>
    <row r="24" spans="1:32" ht="15.75" thickBot="1" x14ac:dyDescent="0.3">
      <c r="A24" s="30" t="s">
        <v>14</v>
      </c>
      <c r="B24" s="22">
        <v>6</v>
      </c>
      <c r="G24" s="11"/>
      <c r="H24" s="11"/>
      <c r="I24" s="11"/>
      <c r="J24" s="11"/>
      <c r="K24" s="11"/>
      <c r="L24" s="11"/>
      <c r="M24" s="11"/>
      <c r="P24" s="31"/>
      <c r="Z24" s="30">
        <f>13*$B$13/51</f>
        <v>1.5294117647058822</v>
      </c>
      <c r="AA24" s="11">
        <f t="shared" si="3"/>
        <v>1.0017012766138009</v>
      </c>
      <c r="AB24" s="10"/>
      <c r="AC24" s="10"/>
      <c r="AD24" s="10"/>
      <c r="AE24" s="10"/>
      <c r="AF24" s="10"/>
    </row>
    <row r="25" spans="1:32" x14ac:dyDescent="0.25">
      <c r="A25" s="30" t="s">
        <v>35</v>
      </c>
      <c r="B25" s="9">
        <f>IF(D17=0,"Infinity",-1/(D17*SQRT(2*ABS(D16/D17))*SIN(SQRT(2*ABS(D17/D16))*B24)))</f>
        <v>-1183.6986331780031</v>
      </c>
      <c r="D25" s="30" t="s">
        <v>124</v>
      </c>
      <c r="F25" s="9">
        <f>IF(D17=0,"Infinity",ABS(-1/(D17*SQRT(2*ABS(D16/D17)))))</f>
        <v>66.915744679673494</v>
      </c>
      <c r="G25" s="11"/>
      <c r="H25" s="11"/>
      <c r="I25" s="11"/>
      <c r="J25" s="11"/>
      <c r="K25" s="11"/>
      <c r="L25" s="11"/>
      <c r="M25" s="11"/>
      <c r="P25" s="31"/>
      <c r="Z25" s="30">
        <f>14*$B$13/51</f>
        <v>1.6470588235294117</v>
      </c>
      <c r="AA25" s="11">
        <f t="shared" si="3"/>
        <v>1.00197458333385</v>
      </c>
      <c r="AB25" s="10"/>
      <c r="AC25" s="10"/>
      <c r="AD25" s="10"/>
      <c r="AE25" s="10"/>
      <c r="AF25" s="10"/>
    </row>
    <row r="26" spans="1:32" x14ac:dyDescent="0.25">
      <c r="B26" s="9"/>
      <c r="F26" s="26"/>
      <c r="G26" s="11"/>
      <c r="H26" s="11"/>
      <c r="I26" s="11"/>
      <c r="J26" s="11"/>
      <c r="K26" s="11"/>
      <c r="L26" s="11"/>
      <c r="M26" s="11"/>
      <c r="P26" s="31"/>
      <c r="Z26" s="30">
        <f>22*$B$13/51</f>
        <v>2.5882352941176472</v>
      </c>
      <c r="AA26" s="11">
        <f t="shared" si="3"/>
        <v>1.0049148953529148</v>
      </c>
      <c r="AB26" s="10"/>
      <c r="AC26" s="10"/>
      <c r="AD26" s="10"/>
      <c r="AE26" s="10"/>
      <c r="AF26" s="10"/>
    </row>
    <row r="27" spans="1:32" x14ac:dyDescent="0.25">
      <c r="B27" s="30" t="str">
        <f>"Based on "&amp;F1&amp;", "&amp;E1&amp;", "&amp;D1&amp; " um"</f>
        <v>Based on 0.4861327, 0.5875618, 0.6562725 um</v>
      </c>
      <c r="E27" s="30" t="str">
        <f>IF(H1=0,"","Based on "&amp;H1&amp;", "&amp;F1&amp;", "&amp;D1&amp; " um")</f>
        <v/>
      </c>
      <c r="H27" s="30" t="str">
        <f>IF(M1=0,"","Based on "&amp;M1&amp;", "&amp;K1&amp;", "&amp;I1&amp; " um")</f>
        <v/>
      </c>
      <c r="J27" s="11"/>
      <c r="K27" s="11"/>
      <c r="L27" s="11"/>
      <c r="M27" s="11"/>
      <c r="P27" s="31"/>
      <c r="Z27" s="30">
        <f>23*$B$13/51</f>
        <v>2.7058823529411766</v>
      </c>
      <c r="AA27" s="11">
        <f t="shared" si="3"/>
        <v>1.0053783678421055</v>
      </c>
      <c r="AB27" s="10"/>
      <c r="AC27" s="10"/>
      <c r="AD27" s="10"/>
      <c r="AE27" s="10"/>
      <c r="AF27" s="10"/>
    </row>
    <row r="28" spans="1:32" x14ac:dyDescent="0.25">
      <c r="A28" s="30" t="s">
        <v>50</v>
      </c>
      <c r="B28" s="9">
        <f>(E16-1)/(F16-D16)</f>
        <v>29.118151876361221</v>
      </c>
      <c r="E28" s="30" t="str">
        <f>IF(H1=0,"N/A",(F16-1)/(H16-D16))</f>
        <v>N/A</v>
      </c>
      <c r="H28" s="30" t="s">
        <v>50</v>
      </c>
      <c r="I28" s="30" t="str">
        <f>IF(M1=0,"N/A",(K16-1)/(M16-I16))</f>
        <v>N/A</v>
      </c>
      <c r="J28" s="11"/>
      <c r="K28" s="11"/>
      <c r="L28" s="11"/>
      <c r="M28" s="11"/>
      <c r="P28" s="31"/>
      <c r="Z28" s="30">
        <f>24*$B$13/51</f>
        <v>2.8235294117647061</v>
      </c>
      <c r="AA28" s="11">
        <f t="shared" si="3"/>
        <v>1.0058635822312436</v>
      </c>
      <c r="AB28" s="10"/>
      <c r="AC28" s="10"/>
      <c r="AD28" s="10"/>
      <c r="AE28" s="10"/>
      <c r="AF28" s="10"/>
    </row>
    <row r="29" spans="1:32" x14ac:dyDescent="0.25">
      <c r="A29" s="30" t="s">
        <v>51</v>
      </c>
      <c r="B29" s="9">
        <f>IF(D17=0,"N/A",E17/(F17-D17))</f>
        <v>9.1354133056359039</v>
      </c>
      <c r="E29" s="26" t="str">
        <f>IF(OR(D17=0,H1=0),"N/A",F17/(H17-D17))</f>
        <v>N/A</v>
      </c>
      <c r="F29" s="11"/>
      <c r="G29" s="11"/>
      <c r="H29" s="30" t="s">
        <v>51</v>
      </c>
      <c r="I29" s="26" t="str">
        <f>IF(OR(D17=0,M1=0),"N/A",K17/(M17-I17))</f>
        <v>N/A</v>
      </c>
      <c r="J29" s="11"/>
      <c r="K29" s="11"/>
      <c r="L29" s="11"/>
      <c r="M29" s="11"/>
      <c r="P29" s="31"/>
      <c r="Z29" s="30">
        <f>25*$B$13/51</f>
        <v>2.9411764705882355</v>
      </c>
      <c r="AA29" s="11">
        <f t="shared" si="3"/>
        <v>1.0063706780864676</v>
      </c>
      <c r="AB29" s="10"/>
      <c r="AC29" s="10"/>
      <c r="AD29" s="10"/>
      <c r="AE29" s="10"/>
      <c r="AF29" s="10"/>
    </row>
    <row r="30" spans="1:32" x14ac:dyDescent="0.25">
      <c r="B30" s="26"/>
      <c r="C30" s="39"/>
      <c r="D30" s="40"/>
      <c r="E30" s="11"/>
      <c r="F30" s="11"/>
      <c r="G30" s="11"/>
      <c r="H30" s="11"/>
      <c r="I30" s="11"/>
      <c r="J30" s="11"/>
      <c r="K30" s="11"/>
      <c r="L30" s="11"/>
      <c r="M30" s="11"/>
      <c r="P30" s="31"/>
      <c r="Z30" s="30">
        <f>29*$B$13/51</f>
        <v>3.4117647058823528</v>
      </c>
      <c r="AA30" s="11">
        <f t="shared" si="3"/>
        <v>1.0086208128263263</v>
      </c>
      <c r="AB30" s="10"/>
      <c r="AC30" s="10"/>
      <c r="AD30" s="10"/>
      <c r="AE30" s="10"/>
      <c r="AF30" s="10"/>
    </row>
    <row r="31" spans="1:32" ht="15.75" thickBot="1" x14ac:dyDescent="0.3">
      <c r="G31" s="6"/>
      <c r="Z31" s="30">
        <f>30*$B$13/51</f>
        <v>3.5294117647058822</v>
      </c>
      <c r="AA31" s="11">
        <f t="shared" si="3"/>
        <v>1.0092395533221068</v>
      </c>
      <c r="AB31" s="10"/>
      <c r="AC31" s="10"/>
      <c r="AD31" s="10"/>
      <c r="AE31" s="10"/>
      <c r="AF31" s="10"/>
    </row>
    <row r="32" spans="1:32" ht="30.75" thickBot="1" x14ac:dyDescent="0.3">
      <c r="A32" s="2" t="s">
        <v>44</v>
      </c>
      <c r="C32" s="43">
        <v>0</v>
      </c>
      <c r="D32" s="30" t="s">
        <v>46</v>
      </c>
      <c r="Z32" s="30">
        <f>31*$B$13/51</f>
        <v>3.6470588235294117</v>
      </c>
      <c r="AA32" s="11">
        <f t="shared" si="3"/>
        <v>1.0098810975936305</v>
      </c>
      <c r="AB32" s="10"/>
      <c r="AC32" s="10"/>
      <c r="AD32" s="10"/>
      <c r="AE32" s="10"/>
      <c r="AF32" s="10"/>
    </row>
    <row r="33" spans="1:32" ht="30.75" thickBot="1" x14ac:dyDescent="0.3">
      <c r="A33" s="2" t="s">
        <v>45</v>
      </c>
      <c r="C33" s="43">
        <v>1</v>
      </c>
      <c r="D33" s="30" t="s">
        <v>47</v>
      </c>
      <c r="Z33" s="30">
        <f>32*$B$13/51</f>
        <v>3.7647058823529411</v>
      </c>
      <c r="AA33" s="11">
        <f t="shared" si="3"/>
        <v>1.0105456127461487</v>
      </c>
      <c r="AB33" s="10"/>
      <c r="AC33" s="10"/>
      <c r="AD33" s="10"/>
      <c r="AE33" s="10"/>
      <c r="AF33" s="10"/>
    </row>
    <row r="34" spans="1:32" x14ac:dyDescent="0.25">
      <c r="Z34" s="30">
        <f>35*$B$13/51</f>
        <v>4.117647058823529</v>
      </c>
      <c r="AA34" s="11">
        <f t="shared" si="3"/>
        <v>1.0126787106669994</v>
      </c>
      <c r="AB34" s="10"/>
      <c r="AC34" s="10"/>
      <c r="AD34" s="10"/>
      <c r="AE34" s="10"/>
      <c r="AF34" s="10"/>
    </row>
    <row r="35" spans="1:32" ht="15.75" thickBot="1" x14ac:dyDescent="0.3">
      <c r="Z35" s="30">
        <f>36*$B$13/51</f>
        <v>4.2352941176470589</v>
      </c>
      <c r="AA35" s="11">
        <f t="shared" si="3"/>
        <v>1.0134368555358206</v>
      </c>
      <c r="AB35" s="10"/>
      <c r="AC35" s="10"/>
      <c r="AD35" s="10"/>
      <c r="AE35" s="10"/>
      <c r="AF35" s="10"/>
    </row>
    <row r="36" spans="1:32" ht="15.75" thickBot="1" x14ac:dyDescent="0.3">
      <c r="A36" s="1" t="s">
        <v>2</v>
      </c>
      <c r="D36" s="30" t="s">
        <v>125</v>
      </c>
      <c r="E36" s="21">
        <v>4</v>
      </c>
      <c r="G36" s="30" t="s">
        <v>3</v>
      </c>
      <c r="H36" s="21">
        <v>0.05</v>
      </c>
      <c r="Z36" s="30">
        <f>37*$B$13/51</f>
        <v>4.3529411764705879</v>
      </c>
      <c r="AA36" s="11">
        <f t="shared" si="3"/>
        <v>1.0142188637071117</v>
      </c>
      <c r="AB36" s="10"/>
      <c r="AC36" s="10"/>
      <c r="AD36" s="10"/>
      <c r="AE36" s="10"/>
      <c r="AF36" s="10"/>
    </row>
    <row r="37" spans="1:32" x14ac:dyDescent="0.25">
      <c r="A37" s="30" t="str">
        <f>"PRV; PWL "&amp;D1*1000&amp;" "&amp;E1*1000&amp;" "&amp;F1*1000&amp;IF(G1=0,""," "&amp;G1*1000)&amp;IF(H1=0,""," "&amp;H1*1000)&amp;IF(I1=0,""," "&amp;I1*1000)&amp;IF(J1=0,""," "&amp;J1*1000)&amp;IF(K1=0,""," "&amp;K1*1000)&amp;IF(L1=0,""," "&amp;L1*1000)&amp;IF(M1=0,""," "&amp;M1*1000)&amp;" ; 'grin"&amp;E36&amp;"' "&amp;D16&amp;" "&amp;E16&amp;" "&amp;F16&amp;IF(G1=0,""," "&amp;G16)&amp;IF(H1=0,""," "&amp;H16)&amp;IF(I1=0,""," "&amp;I16)&amp;IF(J1=0,""," "&amp;J16)&amp;IF(K1=0,""," "&amp;K16)&amp;IF(L1=0,""," "&amp;L16)&amp;IF(M1=0,""," "&amp;M16)&amp;"; URN "&amp;H36&amp;"; URN C10 "&amp;D17&amp;" "&amp;E17&amp;" "&amp;F17&amp;IF(G1=0,""," "&amp;G17)&amp;IF(H1=0,""," "&amp;H17)&amp;IF(I1=0,""," "&amp;I17)&amp;IF(J1=0,""," "&amp;J17)&amp;IF(K1=0,""," "&amp;K17)&amp;IF(L1=0,""," "&amp;L17)&amp;IF(M1=0,""," "&amp;M17)&amp;"; URN C20 "&amp;D18&amp;" "&amp;E18&amp;" "&amp;F18&amp;IF(G1=0,""," "&amp;G18)&amp;IF(H1=0,""," "&amp;H18)&amp;IF(I1=0,""," "&amp;I18)&amp;IF(J1=0,""," "&amp;J18)&amp;IF(K1=0,""," "&amp;K18)&amp;IF(L1=0,""," "&amp;L18)&amp;IF(M1=0,""," "&amp;M18)&amp;"; URN C30 "&amp;D19&amp;" "&amp;E19&amp;" "&amp;F19&amp;IF(G1=0,""," "&amp;G19)&amp;IF(H1=0,""," "&amp;H19)&amp;IF(I1=0,""," "&amp;I19)&amp;IF(J1=0,""," "&amp;J19)&amp;IF(K1=0,""," "&amp;K19)&amp;IF(L1=0,""," "&amp;L19)&amp;IF(M1=0,""," "&amp;M19)&amp;";URN C40 "&amp;D20&amp;" "&amp;E20&amp;" "&amp;F20&amp;IF(G1=0,""," "&amp;G20)&amp;IF(H1=0,""," "&amp;H20)&amp;IF(I1=0,""," "&amp;I20)&amp;IF(J1=0,""," "&amp;J20)&amp;IF(K1=0,""," "&amp;K20)&amp;IF(L1=0,""," "&amp;L20)&amp;IF(M1=0,""," "&amp;M20)&amp;";URN C01 "&amp;D21&amp;" "&amp;E21&amp;" "&amp;F21&amp;IF(G1=0,""," "&amp;G21)&amp;IF(H1=0,""," "&amp;H21)&amp;IF(I1=0,""," "&amp;I21)&amp;IF(J1=0,""," "&amp;J21)&amp;IF(K1=0,""," "&amp;K21)&amp;IF(L1=0,""," "&amp;L21)&amp;IF(M1=0,""," "&amp;M21)&amp;";END;"</f>
        <v>PRV; PWL 656.2725 587.5618 486.1327 ; 'grin4' 1.58527341735841 1.59170408738213 1.60559421552907; URN 0.05; URN C10 0.0000704383535832 7.25990572097533E-05 7.83853456656452E-05; URN C20 1.47933096676304E-07 1.52470959391937E-07 1.64623196433244E-07; URN C30 -7.04755192391228E-10 -7.26373629259338E-10 -7.84267044231715E-10;URN C40 5.77663298596335E-12 5.95383178756929E-12 6.42836395733563E-12;URN C01 -0.002 -0.00206135020245756 -0.0022256438908118;END;</v>
      </c>
      <c r="Z37" s="30">
        <f>38*$B$13/51</f>
        <v>4.4705882352941178</v>
      </c>
      <c r="AA37" s="11">
        <f t="shared" si="3"/>
        <v>1.0150249256754373</v>
      </c>
      <c r="AB37" s="10"/>
      <c r="AC37" s="10"/>
      <c r="AD37" s="10"/>
      <c r="AE37" s="10"/>
      <c r="AF37" s="10"/>
    </row>
    <row r="38" spans="1:32" x14ac:dyDescent="0.25">
      <c r="Z38" s="30">
        <f>39*$B$13/51</f>
        <v>4.5882352941176467</v>
      </c>
      <c r="AA38" s="11">
        <f t="shared" si="3"/>
        <v>1.0158552363275941</v>
      </c>
    </row>
    <row r="39" spans="1:32" x14ac:dyDescent="0.25">
      <c r="A39" s="1" t="s">
        <v>5</v>
      </c>
      <c r="Z39" s="30">
        <f>40*$B$13/51</f>
        <v>4.7058823529411766</v>
      </c>
      <c r="AA39" s="11">
        <f t="shared" si="3"/>
        <v>1.0167099951968235</v>
      </c>
      <c r="AB39" s="10"/>
      <c r="AC39" s="10"/>
      <c r="AD39" s="10"/>
      <c r="AE39" s="10"/>
      <c r="AF39" s="10"/>
    </row>
    <row r="40" spans="1:32" x14ac:dyDescent="0.25">
      <c r="A40" s="30" t="str">
        <f>"GRC C0 'grin"&amp;E36&amp;"' "&amp;IF(C16="yes",0,100)&amp;"; GRC C10 'grin"&amp;E36&amp;"' "&amp;IF(C17="yes",0,100)&amp;"; GRC C20 'grin"&amp;E36&amp;"' "&amp;IF(C18="yes",0,100)&amp;";GRC C30 'grin"&amp;E36&amp;"' "&amp;IF(C19="yes",0,100)&amp;";GRC C40 'grin"&amp;E36&amp;"' "&amp;IF(C20="yes",0,100)&amp;";GRC C01 'grin"&amp;E36&amp;"' "&amp;IF(C21="yes",0,100)&amp;"; "</f>
        <v xml:space="preserve">GRC C0 'grin4' 0; GRC C10 'grin4' 0; GRC C20 'grin4' 0;GRC C30 'grin4' 0;GRC C40 'grin4' 0;GRC C01 'grin4' 0; </v>
      </c>
      <c r="Z40" s="30">
        <f>41*$B$13/51</f>
        <v>4.8235294117647056</v>
      </c>
      <c r="AA40" s="11">
        <f t="shared" si="3"/>
        <v>1.0175894067666298</v>
      </c>
      <c r="AB40" s="10"/>
      <c r="AC40" s="10"/>
      <c r="AD40" s="10"/>
      <c r="AE40" s="10"/>
      <c r="AF40" s="10"/>
    </row>
    <row r="41" spans="1:32" x14ac:dyDescent="0.25">
      <c r="Z41" s="30">
        <f>42*$B$13/51</f>
        <v>4.9411764705882355</v>
      </c>
      <c r="AA41" s="11">
        <f t="shared" si="3"/>
        <v>1.0184936808276015</v>
      </c>
      <c r="AB41" s="10"/>
      <c r="AC41" s="10"/>
      <c r="AD41" s="10"/>
      <c r="AE41" s="10"/>
      <c r="AF41" s="10"/>
    </row>
    <row r="42" spans="1:32" x14ac:dyDescent="0.25">
      <c r="A42" s="1" t="s">
        <v>10</v>
      </c>
      <c r="Z42" s="30">
        <f>43*$B$13/51</f>
        <v>5.0588235294117645</v>
      </c>
      <c r="AA42" s="11">
        <f t="shared" si="3"/>
        <v>1.0194230328906844</v>
      </c>
      <c r="AB42" s="10"/>
      <c r="AC42" s="10"/>
      <c r="AD42" s="10"/>
      <c r="AE42" s="10"/>
      <c r="AF42" s="10"/>
    </row>
    <row r="43" spans="1:32" x14ac:dyDescent="0.25">
      <c r="A43" s="4" t="str">
        <f>"! CONSTRAINTS FOR OPTIMIZING RADIAL GRADIENT WITH R^2, R^4, and R^6 TERMS ON ELEMENT grin"&amp;E36</f>
        <v>! CONSTRAINTS FOR OPTIMIZING RADIAL GRADIENT WITH R^2, R^4, and R^6 TERMS ON ELEMENT grin4</v>
      </c>
      <c r="Z43" s="30">
        <f>44*$B$13/51</f>
        <v>5.1764705882352944</v>
      </c>
      <c r="AA43" s="11">
        <f t="shared" si="3"/>
        <v>1.020377684660484</v>
      </c>
      <c r="AB43" s="10"/>
      <c r="AC43" s="10"/>
      <c r="AD43" s="10"/>
      <c r="AE43" s="10"/>
      <c r="AF43" s="10"/>
    </row>
    <row r="44" spans="1:32" x14ac:dyDescent="0.25">
      <c r="A44" s="4" t="str">
        <f>"! LAST EDITED ON 02-21-2012 BY PETER MCCARTHY"</f>
        <v>! LAST EDITED ON 02-21-2012 BY PETER MCCARTHY</v>
      </c>
      <c r="Z44" s="30">
        <f>45*$B$13/51</f>
        <v>5.2941176470588234</v>
      </c>
      <c r="AA44" s="11">
        <f t="shared" si="3"/>
        <v>1.0213578645722274</v>
      </c>
      <c r="AB44" s="10"/>
      <c r="AC44" s="10"/>
      <c r="AD44" s="10"/>
      <c r="AE44" s="10"/>
      <c r="AF44" s="10"/>
    </row>
    <row r="45" spans="1:32" x14ac:dyDescent="0.25">
      <c r="A45" s="4" t="str">
        <f>"! Define gradient coefficients at all wavelengths"</f>
        <v>! Define gradient coefficients at all wavelengths</v>
      </c>
      <c r="Z45" s="30">
        <f>46*$B$13/51</f>
        <v>5.4117647058823533</v>
      </c>
      <c r="AA45" s="11">
        <f t="shared" si="3"/>
        <v>1.0223638083961268</v>
      </c>
      <c r="AB45" s="10"/>
      <c r="AC45" s="10"/>
      <c r="AD45" s="10"/>
      <c r="AE45" s="10"/>
      <c r="AF45" s="10"/>
    </row>
    <row r="46" spans="1:32" x14ac:dyDescent="0.25">
      <c r="A46" s="4" t="str">
        <f>"@N0_10_"&amp;E36&amp;" == (GRN C0 S'grin"&amp;E36&amp;"' W1)"</f>
        <v>@N0_10_4 == (GRN C0 S'grin4' W1)</v>
      </c>
      <c r="Z46" s="30">
        <f>47*$B$13/51</f>
        <v>5.5294117647058822</v>
      </c>
      <c r="AA46" s="11">
        <f t="shared" si="3"/>
        <v>1.0233957599129588</v>
      </c>
      <c r="AB46" s="10"/>
      <c r="AC46" s="10"/>
      <c r="AD46" s="10"/>
      <c r="AE46" s="10"/>
      <c r="AF46" s="10"/>
    </row>
    <row r="47" spans="1:32" x14ac:dyDescent="0.25">
      <c r="A47" s="4" t="str">
        <f>"@N0_9_"&amp;E36&amp;" == (GRN C0 S'grin"&amp;E36&amp;"' W2)"</f>
        <v>@N0_9_4 == (GRN C0 S'grin4' W2)</v>
      </c>
      <c r="Z47" s="30">
        <f>48*$B$13/51</f>
        <v>5.6470588235294121</v>
      </c>
      <c r="AA47" s="11">
        <f t="shared" si="3"/>
        <v>1.024453971664774</v>
      </c>
      <c r="AB47" s="10"/>
      <c r="AC47" s="10"/>
      <c r="AD47" s="10"/>
      <c r="AE47" s="10"/>
      <c r="AF47" s="10"/>
    </row>
    <row r="48" spans="1:32" x14ac:dyDescent="0.25">
      <c r="A48" s="4" t="str">
        <f>"@N0_8_"&amp;E36&amp;" == (GRN C0 S'grin"&amp;E36&amp;"' W3)"</f>
        <v>@N0_8_4 == (GRN C0 S'grin4' W3)</v>
      </c>
      <c r="Z48" s="30">
        <f>49*$B$13/51</f>
        <v>5.7647058823529411</v>
      </c>
      <c r="AA48" s="11">
        <f t="shared" si="3"/>
        <v>1.0255387057847269</v>
      </c>
      <c r="AB48" s="10"/>
      <c r="AC48" s="10"/>
      <c r="AD48" s="10"/>
      <c r="AE48" s="10"/>
      <c r="AF48" s="10"/>
    </row>
    <row r="49" spans="1:32" x14ac:dyDescent="0.25">
      <c r="A49" s="4" t="str">
        <f>IF(G1=0,"","@N0_7_"&amp;E36&amp;" == (GRN C0 S'grin"&amp;E36&amp;"' W4)")</f>
        <v/>
      </c>
      <c r="Z49" s="30">
        <f>50*$B$13/51</f>
        <v>5.882352941176471</v>
      </c>
      <c r="AA49" s="11">
        <f t="shared" si="3"/>
        <v>1.0266502349101181</v>
      </c>
      <c r="AB49" s="10"/>
      <c r="AC49" s="10"/>
      <c r="AD49" s="10"/>
      <c r="AE49" s="10"/>
      <c r="AF49" s="10"/>
    </row>
    <row r="50" spans="1:32" x14ac:dyDescent="0.25">
      <c r="A50" s="4" t="str">
        <f>IF(H1=0,"","@N0_6_"&amp;E36&amp;" == (GRN C0 S'grin"&amp;E36&amp;"' W5)")</f>
        <v/>
      </c>
      <c r="Z50" s="30">
        <f>51*$B$13/51</f>
        <v>6</v>
      </c>
      <c r="AA50" s="11">
        <f t="shared" si="3"/>
        <v>1.0277888431828117</v>
      </c>
      <c r="AB50" s="10"/>
      <c r="AC50" s="10"/>
      <c r="AD50" s="10"/>
      <c r="AE50" s="10"/>
      <c r="AF50" s="10"/>
    </row>
    <row r="51" spans="1:32" x14ac:dyDescent="0.25">
      <c r="A51" s="4" t="str">
        <f>IF(I1=0,"","@N0_5_"&amp;E36&amp;" == (GRN C0 S'grin"&amp;E36&amp;"' W6)")</f>
        <v/>
      </c>
      <c r="AA51" s="11">
        <f t="shared" si="3"/>
        <v>1</v>
      </c>
      <c r="AB51" s="10"/>
      <c r="AC51" s="10"/>
      <c r="AD51" s="10"/>
      <c r="AE51" s="10"/>
      <c r="AF51" s="10"/>
    </row>
    <row r="52" spans="1:32" x14ac:dyDescent="0.25">
      <c r="A52" s="4" t="str">
        <f>IF(J1=0,"","@N0_4_"&amp;E36&amp;" == (GRN C0 S'grin"&amp;E36&amp;"' W7)")</f>
        <v/>
      </c>
      <c r="AA52" s="11">
        <f t="shared" si="3"/>
        <v>1</v>
      </c>
      <c r="AB52" s="10"/>
      <c r="AC52" s="10"/>
      <c r="AD52" s="10"/>
      <c r="AE52" s="10"/>
      <c r="AF52" s="10"/>
    </row>
    <row r="53" spans="1:32" x14ac:dyDescent="0.25">
      <c r="A53" s="4" t="str">
        <f>IF(K1=0,"","@N0_3_"&amp;E36&amp;" == (GRN C0 S'grin"&amp;E36&amp;"' W8)")</f>
        <v/>
      </c>
      <c r="AA53" s="11">
        <f t="shared" si="3"/>
        <v>1</v>
      </c>
      <c r="AB53" s="10"/>
      <c r="AC53" s="10"/>
      <c r="AD53" s="10"/>
      <c r="AE53" s="10"/>
      <c r="AF53" s="10"/>
    </row>
    <row r="54" spans="1:32" x14ac:dyDescent="0.25">
      <c r="A54" s="4" t="str">
        <f>IF(L1=0,"","@N0_2_"&amp;E36&amp;" == (GRN C0 S'grin"&amp;E36&amp;"' W9)")</f>
        <v/>
      </c>
      <c r="AA54" s="11">
        <f t="shared" si="3"/>
        <v>1</v>
      </c>
      <c r="AB54" s="10"/>
      <c r="AC54" s="10"/>
      <c r="AD54" s="10"/>
      <c r="AE54" s="10"/>
      <c r="AF54" s="10"/>
    </row>
    <row r="55" spans="1:32" x14ac:dyDescent="0.25">
      <c r="A55" s="4" t="str">
        <f>IF(M1=0,"","@N0_1_"&amp;E36&amp;" == (GRN C0 S'grin"&amp;E36&amp;"' W10)")</f>
        <v/>
      </c>
      <c r="AA55" s="11">
        <f t="shared" si="3"/>
        <v>1</v>
      </c>
      <c r="AB55" s="10"/>
      <c r="AC55" s="10"/>
      <c r="AD55" s="10"/>
      <c r="AE55" s="10"/>
      <c r="AF55" s="10"/>
    </row>
    <row r="56" spans="1:32" x14ac:dyDescent="0.25">
      <c r="A56" s="4" t="str">
        <f>"@N10_10_"&amp;E36&amp;" == (GRN C10 S'grin"&amp;E36&amp;"' W1)"</f>
        <v>@N10_10_4 == (GRN C10 S'grin4' W1)</v>
      </c>
      <c r="AA56" s="11">
        <f t="shared" si="3"/>
        <v>1</v>
      </c>
      <c r="AB56" s="10"/>
      <c r="AC56" s="10"/>
      <c r="AD56" s="10"/>
      <c r="AE56" s="10"/>
      <c r="AF56" s="10"/>
    </row>
    <row r="57" spans="1:32" x14ac:dyDescent="0.25">
      <c r="A57" s="4" t="str">
        <f>"@N10_9_"&amp;E36&amp;" == (GRN C10 S'grin"&amp;E36&amp;"' W2)"</f>
        <v>@N10_9_4 == (GRN C10 S'grin4' W2)</v>
      </c>
      <c r="AA57" s="11">
        <f t="shared" si="3"/>
        <v>1</v>
      </c>
      <c r="AB57" s="10"/>
      <c r="AC57" s="10"/>
      <c r="AD57" s="10"/>
      <c r="AE57" s="10"/>
      <c r="AF57" s="10"/>
    </row>
    <row r="58" spans="1:32" x14ac:dyDescent="0.25">
      <c r="A58" s="4" t="str">
        <f>"@N10_8_"&amp;E36&amp;" == (GRN C10 S'grin"&amp;E36&amp;"' W3)"</f>
        <v>@N10_8_4 == (GRN C10 S'grin4' W3)</v>
      </c>
      <c r="AA58" s="11">
        <f t="shared" si="3"/>
        <v>1</v>
      </c>
      <c r="AB58" s="10"/>
      <c r="AC58" s="10"/>
      <c r="AD58" s="10"/>
      <c r="AE58" s="10"/>
      <c r="AF58" s="10"/>
    </row>
    <row r="59" spans="1:32" x14ac:dyDescent="0.25">
      <c r="A59" s="4" t="str">
        <f>IF(G1=0,"","@N10_7_"&amp;E36&amp;" == (GRN C10 S'grin"&amp;E36&amp;"' W4)")</f>
        <v/>
      </c>
      <c r="AA59" s="11">
        <f t="shared" si="3"/>
        <v>1</v>
      </c>
      <c r="AB59" s="10"/>
      <c r="AC59" s="10"/>
      <c r="AD59" s="10"/>
      <c r="AE59" s="10"/>
      <c r="AF59" s="10"/>
    </row>
    <row r="60" spans="1:32" x14ac:dyDescent="0.25">
      <c r="A60" s="4" t="str">
        <f>IF(H1=0,"","@N10_6_"&amp;E36&amp;" == (GRN C10 S'grin"&amp;E36&amp;"' W5)")</f>
        <v/>
      </c>
      <c r="AA60" s="11">
        <f t="shared" si="3"/>
        <v>1</v>
      </c>
      <c r="AB60" s="10"/>
      <c r="AC60" s="10"/>
      <c r="AD60" s="10"/>
      <c r="AE60" s="10"/>
      <c r="AF60" s="10"/>
    </row>
    <row r="61" spans="1:32" x14ac:dyDescent="0.25">
      <c r="A61" s="4" t="str">
        <f>IF(I1=0,"","@N10_5_"&amp;E36&amp;" == (GRN C10 S'grin"&amp;E36&amp;"' W6)")</f>
        <v/>
      </c>
      <c r="AA61" s="11">
        <f t="shared" si="3"/>
        <v>1</v>
      </c>
      <c r="AB61" s="10"/>
      <c r="AC61" s="10"/>
      <c r="AD61" s="10"/>
      <c r="AE61" s="10"/>
      <c r="AF61" s="10"/>
    </row>
    <row r="62" spans="1:32" x14ac:dyDescent="0.25">
      <c r="A62" s="4" t="str">
        <f>IF(J1=0,"","@N10_4_"&amp;E36&amp;" == (GRN C10 S'grin"&amp;E36&amp;"' W7)")</f>
        <v/>
      </c>
      <c r="AA62" s="11">
        <f t="shared" si="3"/>
        <v>1</v>
      </c>
      <c r="AB62" s="10"/>
      <c r="AC62" s="10"/>
      <c r="AD62" s="10"/>
      <c r="AE62" s="10"/>
      <c r="AF62" s="10"/>
    </row>
    <row r="63" spans="1:32" x14ac:dyDescent="0.25">
      <c r="A63" s="4" t="str">
        <f>IF(K1=0,"","@N10_3_"&amp;E36&amp;" == (GRN C10 S'grin"&amp;E36&amp;"' W8)")</f>
        <v/>
      </c>
      <c r="AA63" s="11">
        <f t="shared" si="3"/>
        <v>1</v>
      </c>
      <c r="AB63" s="10"/>
      <c r="AC63" s="10"/>
      <c r="AD63" s="10"/>
      <c r="AE63" s="10"/>
      <c r="AF63" s="10"/>
    </row>
    <row r="64" spans="1:32" x14ac:dyDescent="0.25">
      <c r="A64" s="4" t="str">
        <f>IF(L1=0,"","@N10_2_"&amp;E36&amp;" == (GRN C10 S'grin"&amp;E36&amp;"' W9)")</f>
        <v/>
      </c>
      <c r="AA64" s="11">
        <f t="shared" si="3"/>
        <v>1</v>
      </c>
      <c r="AB64" s="10"/>
      <c r="AC64" s="10"/>
      <c r="AD64" s="10"/>
      <c r="AE64" s="10"/>
      <c r="AF64" s="10"/>
    </row>
    <row r="65" spans="1:32" x14ac:dyDescent="0.25">
      <c r="A65" s="4" t="str">
        <f>IF(M1=0,"","@N10_1_"&amp;E36&amp;" == (GRN C10 S'grin"&amp;E36&amp;"' W10)")</f>
        <v/>
      </c>
      <c r="AB65" s="10"/>
      <c r="AC65" s="10"/>
      <c r="AD65" s="10"/>
      <c r="AE65" s="10"/>
      <c r="AF65" s="10"/>
    </row>
    <row r="66" spans="1:32" x14ac:dyDescent="0.25">
      <c r="A66" s="4" t="str">
        <f>"@N20_10_"&amp;E36&amp;" == (GRN C20 S'grin"&amp;E36&amp;"' W1)"</f>
        <v>@N20_10_4 == (GRN C20 S'grin4' W1)</v>
      </c>
      <c r="AB66" s="10"/>
      <c r="AC66" s="10"/>
      <c r="AD66" s="10"/>
      <c r="AE66" s="10"/>
      <c r="AF66" s="10"/>
    </row>
    <row r="67" spans="1:32" x14ac:dyDescent="0.25">
      <c r="A67" s="4" t="str">
        <f>"@N20_9_"&amp;E36&amp;" == (GRN C20 S'grin"&amp;E36&amp;"' W2)"</f>
        <v>@N20_9_4 == (GRN C20 S'grin4' W2)</v>
      </c>
      <c r="AB67" s="10"/>
      <c r="AC67" s="10"/>
      <c r="AD67" s="10"/>
      <c r="AE67" s="10"/>
      <c r="AF67" s="10"/>
    </row>
    <row r="68" spans="1:32" x14ac:dyDescent="0.25">
      <c r="A68" s="4" t="str">
        <f>"@N20_8_"&amp;E36&amp;" == (GRN C20 S'grin"&amp;E36&amp;"' W3)"</f>
        <v>@N20_8_4 == (GRN C20 S'grin4' W3)</v>
      </c>
      <c r="AB68" s="10"/>
      <c r="AC68" s="10"/>
      <c r="AD68" s="10"/>
      <c r="AE68" s="10"/>
      <c r="AF68" s="10"/>
    </row>
    <row r="69" spans="1:32" x14ac:dyDescent="0.25">
      <c r="A69" s="4" t="str">
        <f>IF(G1=0,"","@N20_7_"&amp;E36&amp;" == (GRN C20 S'grin"&amp;E36&amp;"' W4)")</f>
        <v/>
      </c>
      <c r="AB69" s="10"/>
      <c r="AC69" s="10"/>
      <c r="AD69" s="10"/>
      <c r="AE69" s="10"/>
      <c r="AF69" s="10"/>
    </row>
    <row r="70" spans="1:32" x14ac:dyDescent="0.25">
      <c r="A70" s="4" t="str">
        <f>IF(H1=0,"","@N20_6_"&amp;E36&amp;" == (GRN C20 S'grin"&amp;E36&amp;"' W5)")</f>
        <v/>
      </c>
      <c r="AB70" s="10"/>
      <c r="AC70" s="10"/>
      <c r="AD70" s="10"/>
      <c r="AE70" s="10"/>
      <c r="AF70" s="10"/>
    </row>
    <row r="71" spans="1:32" x14ac:dyDescent="0.25">
      <c r="A71" s="4" t="str">
        <f>IF(I1=0,"","@N20_5_"&amp;E36&amp;" == (GRN C20 S'grin"&amp;E36&amp;"' W6)")</f>
        <v/>
      </c>
      <c r="AB71" s="10"/>
      <c r="AC71" s="10"/>
      <c r="AD71" s="10"/>
      <c r="AE71" s="10"/>
      <c r="AF71" s="10"/>
    </row>
    <row r="72" spans="1:32" x14ac:dyDescent="0.25">
      <c r="A72" s="4" t="str">
        <f>IF(J1=0,"","@N20_4_"&amp;E36&amp;" == (GRN C20 S'grin"&amp;E36&amp;"' W7)")</f>
        <v/>
      </c>
      <c r="AB72" s="10"/>
      <c r="AC72" s="10"/>
      <c r="AD72" s="10"/>
      <c r="AE72" s="10"/>
      <c r="AF72" s="10"/>
    </row>
    <row r="73" spans="1:32" x14ac:dyDescent="0.25">
      <c r="A73" s="4" t="str">
        <f>IF(K1=0,"","@N20_3_"&amp;E36&amp;" == (GRN C20 S'grin"&amp;E36&amp;"' W8)")</f>
        <v/>
      </c>
      <c r="AB73" s="10"/>
      <c r="AC73" s="10"/>
      <c r="AD73" s="10"/>
      <c r="AE73" s="10"/>
      <c r="AF73" s="10"/>
    </row>
    <row r="74" spans="1:32" x14ac:dyDescent="0.25">
      <c r="A74" s="4" t="str">
        <f>IF(L1=0,"","@N20_2_"&amp;E36&amp;" == (GRN C20 S'grin"&amp;E36&amp;"' W9)")</f>
        <v/>
      </c>
      <c r="AB74" s="10"/>
      <c r="AC74" s="10"/>
      <c r="AD74" s="10"/>
      <c r="AE74" s="10"/>
      <c r="AF74" s="10"/>
    </row>
    <row r="75" spans="1:32" x14ac:dyDescent="0.25">
      <c r="A75" s="4" t="str">
        <f>IF(M1=0,"","@N20_1_"&amp;E36&amp;" == (GRN C20 S'grin"&amp;E36&amp;"' W10)")</f>
        <v/>
      </c>
      <c r="AB75" s="10"/>
      <c r="AC75" s="10"/>
      <c r="AD75" s="10"/>
      <c r="AE75" s="10"/>
      <c r="AF75" s="10"/>
    </row>
    <row r="76" spans="1:32" x14ac:dyDescent="0.25">
      <c r="A76" s="4" t="str">
        <f>"@N30_10_"&amp;E36&amp;" == (GRN C30 S'grin"&amp;E36&amp;"' W1)"</f>
        <v>@N30_10_4 == (GRN C30 S'grin4' W1)</v>
      </c>
      <c r="AB76" s="10"/>
      <c r="AC76" s="10"/>
      <c r="AD76" s="10"/>
      <c r="AE76" s="10"/>
      <c r="AF76" s="10"/>
    </row>
    <row r="77" spans="1:32" x14ac:dyDescent="0.25">
      <c r="A77" s="4" t="str">
        <f>"@N30_9_"&amp;E36&amp;" == (GRN C30 S'grin"&amp;E36&amp;"' W2)"</f>
        <v>@N30_9_4 == (GRN C30 S'grin4' W2)</v>
      </c>
      <c r="AB77" s="10"/>
      <c r="AC77" s="10"/>
      <c r="AD77" s="10"/>
      <c r="AE77" s="10"/>
      <c r="AF77" s="10"/>
    </row>
    <row r="78" spans="1:32" x14ac:dyDescent="0.25">
      <c r="A78" s="4" t="str">
        <f>"@N30_8_"&amp;E36&amp;" == (GRN C30 S'grin"&amp;E36&amp;"' W3)"</f>
        <v>@N30_8_4 == (GRN C30 S'grin4' W3)</v>
      </c>
    </row>
    <row r="79" spans="1:32" x14ac:dyDescent="0.25">
      <c r="A79" s="4" t="str">
        <f>IF(G1=0,"","@N30_7_"&amp;E36&amp;" == (GRN C30 S'grin"&amp;E36&amp;"' W4)")</f>
        <v/>
      </c>
    </row>
    <row r="80" spans="1:32" x14ac:dyDescent="0.25">
      <c r="A80" s="4" t="str">
        <f>IF(H1=0,"","@N30_6_"&amp;E36&amp;" == (GRN C30 S'grin"&amp;E36&amp;"' W5)")</f>
        <v/>
      </c>
    </row>
    <row r="81" spans="1:1" x14ac:dyDescent="0.25">
      <c r="A81" s="4" t="str">
        <f>IF(I1=0,"","@N30_5_"&amp;E36&amp;" == (GRN C30 S'grin"&amp;E36&amp;"' W6)")</f>
        <v/>
      </c>
    </row>
    <row r="82" spans="1:1" x14ac:dyDescent="0.25">
      <c r="A82" s="4" t="str">
        <f>IF(J1=0,"","@N30_4_"&amp;E36&amp;" == (GRN C30 S'grin"&amp;E36&amp;"' W7)")</f>
        <v/>
      </c>
    </row>
    <row r="83" spans="1:1" x14ac:dyDescent="0.25">
      <c r="A83" s="4" t="str">
        <f>IF(K1=0,"","@N30_3_"&amp;E36&amp;" == (GRN C30 S'grin"&amp;E36&amp;"' W8)")</f>
        <v/>
      </c>
    </row>
    <row r="84" spans="1:1" x14ac:dyDescent="0.25">
      <c r="A84" s="4" t="str">
        <f>IF(L1=0,"","@N30_2_"&amp;E36&amp;" == (GRN C30 S'grin"&amp;E36&amp;"' W9)")</f>
        <v/>
      </c>
    </row>
    <row r="85" spans="1:1" x14ac:dyDescent="0.25">
      <c r="A85" s="4" t="str">
        <f>IF(M1=0,"","@N30_1_"&amp;E36&amp;" == (GRN C30 S'grin"&amp;E36&amp;"' W10)")</f>
        <v/>
      </c>
    </row>
    <row r="86" spans="1:1" x14ac:dyDescent="0.25">
      <c r="A86" s="4" t="str">
        <f>"@N40_10_"&amp;E36&amp;" == (GRN C40 S'grin"&amp;E36&amp;"' W1)"</f>
        <v>@N40_10_4 == (GRN C40 S'grin4' W1)</v>
      </c>
    </row>
    <row r="87" spans="1:1" x14ac:dyDescent="0.25">
      <c r="A87" s="4" t="str">
        <f>"@N40_9_"&amp;E36&amp;" == (GRN C40 S'grin"&amp;E36&amp;"' W2)"</f>
        <v>@N40_9_4 == (GRN C40 S'grin4' W2)</v>
      </c>
    </row>
    <row r="88" spans="1:1" x14ac:dyDescent="0.25">
      <c r="A88" s="4" t="str">
        <f>"@N40_8_"&amp;E36&amp;" == (GRN C40 S'grin"&amp;E36&amp;"' W3)"</f>
        <v>@N40_8_4 == (GRN C40 S'grin4' W3)</v>
      </c>
    </row>
    <row r="89" spans="1:1" x14ac:dyDescent="0.25">
      <c r="A89" s="4" t="str">
        <f>IF(G1=0,"","@N40_7_"&amp;E36&amp;" == (GRN C40 S'grin"&amp;E36&amp;"' W4)")</f>
        <v/>
      </c>
    </row>
    <row r="90" spans="1:1" x14ac:dyDescent="0.25">
      <c r="A90" s="4" t="str">
        <f>IF(H1=0,"","@N40_6_"&amp;E36&amp;" == (GRN C40 S'grin"&amp;E36&amp;"' W5)")</f>
        <v/>
      </c>
    </row>
    <row r="91" spans="1:1" x14ac:dyDescent="0.25">
      <c r="A91" s="4" t="str">
        <f>IF(I1=0,"","@N40_5_"&amp;E36&amp;" == (GRN C40 S'grin"&amp;E36&amp;"' W6)")</f>
        <v/>
      </c>
    </row>
    <row r="92" spans="1:1" x14ac:dyDescent="0.25">
      <c r="A92" s="4" t="str">
        <f>IF(J1=0,"","@N40_4_"&amp;E36&amp;" == (GRN C40 S'grin"&amp;E36&amp;"' W7)")</f>
        <v/>
      </c>
    </row>
    <row r="93" spans="1:1" x14ac:dyDescent="0.25">
      <c r="A93" s="4" t="str">
        <f>IF(K1=0,"","@N40_3_"&amp;E36&amp;" == (GRN C40 S'grin"&amp;E36&amp;"' W8)")</f>
        <v/>
      </c>
    </row>
    <row r="94" spans="1:1" x14ac:dyDescent="0.25">
      <c r="A94" s="4" t="str">
        <f>IF(L1=0,"","@N40_2_"&amp;E36&amp;" == (GRN C40 S'grin"&amp;E36&amp;"' W9)")</f>
        <v/>
      </c>
    </row>
    <row r="95" spans="1:1" x14ac:dyDescent="0.25">
      <c r="A95" s="4" t="str">
        <f>IF(M1=0,"","@N40_1_"&amp;E36&amp;" == (GRN C40 S'grin"&amp;E36&amp;"' W10)")</f>
        <v/>
      </c>
    </row>
    <row r="96" spans="1:1" x14ac:dyDescent="0.25">
      <c r="A96" s="4" t="str">
        <f>"@N01_10_"&amp;E36&amp;" == (GRN C01 S'grin"&amp;E36&amp;"' W1)"</f>
        <v>@N01_10_4 == (GRN C01 S'grin4' W1)</v>
      </c>
    </row>
    <row r="97" spans="1:1" x14ac:dyDescent="0.25">
      <c r="A97" s="4" t="str">
        <f>"@N01_9_"&amp;E36&amp;" == (GRN C01 S'grin"&amp;E36&amp;"' W2)"</f>
        <v>@N01_9_4 == (GRN C01 S'grin4' W2)</v>
      </c>
    </row>
    <row r="98" spans="1:1" x14ac:dyDescent="0.25">
      <c r="A98" s="4" t="str">
        <f>"@N01_8_"&amp;E36&amp;" == (GRN C01 S'grin"&amp;E36&amp;"' W3)"</f>
        <v>@N01_8_4 == (GRN C01 S'grin4' W3)</v>
      </c>
    </row>
    <row r="99" spans="1:1" x14ac:dyDescent="0.25">
      <c r="A99" s="4" t="str">
        <f>IF(G1=0,"","@N01_7_"&amp;E36&amp;" == (GRN C01 S'grin"&amp;E36&amp;"' W4)")</f>
        <v/>
      </c>
    </row>
    <row r="100" spans="1:1" x14ac:dyDescent="0.25">
      <c r="A100" s="4" t="str">
        <f>IF(H1=0,"","@N01_6_"&amp;E36&amp;" == (GRN C01 S'grin"&amp;E36&amp;"' W5)")</f>
        <v/>
      </c>
    </row>
    <row r="101" spans="1:1" x14ac:dyDescent="0.25">
      <c r="A101" s="4" t="str">
        <f>IF(I1=0,"","@N01_5_"&amp;E36&amp;" == (GRN C01 S'grin"&amp;E36&amp;"' W6)")</f>
        <v/>
      </c>
    </row>
    <row r="102" spans="1:1" x14ac:dyDescent="0.25">
      <c r="A102" s="4" t="str">
        <f>IF(J1=0,"","@N01_4_"&amp;E36&amp;" == (GRN C01 S'grin"&amp;E36&amp;"' W7)")</f>
        <v/>
      </c>
    </row>
    <row r="103" spans="1:1" x14ac:dyDescent="0.25">
      <c r="A103" s="4" t="str">
        <f>IF(K1=0,"","@N01_3_"&amp;E36&amp;" == (GRN C01 S'grin"&amp;E36&amp;"' W8)")</f>
        <v/>
      </c>
    </row>
    <row r="104" spans="1:1" x14ac:dyDescent="0.25">
      <c r="A104" s="4" t="str">
        <f>IF(L1=0,"","@N01_2_"&amp;E36&amp;" == (GRN C01 S'grin"&amp;E36&amp;"' W9)")</f>
        <v/>
      </c>
    </row>
    <row r="105" spans="1:1" x14ac:dyDescent="0.25">
      <c r="A105" s="4" t="str">
        <f>IF(M1=0,"","@N01_1_"&amp;E36&amp;" == (GRN C01 S'grin"&amp;E36&amp;"' W10)")</f>
        <v/>
      </c>
    </row>
    <row r="106" spans="1:1" x14ac:dyDescent="0.25">
      <c r="A106" s="4" t="str">
        <f>"@rmax_"&amp;E36&amp;" == MAXF((MAP s'grin"&amp;E36&amp;"'),(MAP s'grin"&amp;E36&amp;"'+1))"</f>
        <v>@rmax_4 == MAXF((MAP s'grin4'),(MAP s'grin4'+1))</v>
      </c>
    </row>
    <row r="107" spans="1:1" x14ac:dyDescent="0.25">
      <c r="A107" s="4" t="str">
        <f>"@zmax_"&amp;E36&amp;" == MAXF((CT S'grin"&amp;E36&amp;"'),(ET S'grin"&amp;E36&amp;"'))"</f>
        <v>@zmax_4 == MAXF((CT S'grin4'),(ET S'grin4'))</v>
      </c>
    </row>
    <row r="108" spans="1:1" x14ac:dyDescent="0.25">
      <c r="A108" s="4" t="str">
        <f>"@zmin_"&amp;E36&amp;" == 0"</f>
        <v>@zmin_4 == 0</v>
      </c>
    </row>
    <row r="109" spans="1:1" x14ac:dyDescent="0.25">
      <c r="A109" s="4" t="str">
        <f>"@Tmax_"&amp;E36&amp;" == (CT s'grin"&amp;E36&amp;"')"</f>
        <v>@Tmax_4 == (CT s'grin4')</v>
      </c>
    </row>
    <row r="110" spans="1:1" x14ac:dyDescent="0.25">
      <c r="A110" s="4"/>
    </row>
    <row r="111" spans="1:1" x14ac:dyDescent="0.25">
      <c r="A111" s="4" t="str">
        <f>"! Define gradient coefficient difference compared to reference wavelength for all wavelengths"</f>
        <v>! Define gradient coefficient difference compared to reference wavelength for all wavelengths</v>
      </c>
    </row>
    <row r="112" spans="1:1" x14ac:dyDescent="0.25">
      <c r="A112" s="4" t="str">
        <f>"@dN0_9_"&amp;E36&amp;" == "&amp;E2&amp;"*((@N0_10_"&amp;E36&amp;")-"&amp;D3&amp;")/"&amp;D2&amp;"+"&amp;E3&amp;"-(@N0_9_"&amp;E36&amp;")"</f>
        <v>@dN0_9_4 == 0.100302084101582*((@N0_10_4)-1.48795653837104)/0.0973168789873748+1.49140200328054-(@N0_9_4)</v>
      </c>
    </row>
    <row r="113" spans="1:1" x14ac:dyDescent="0.25">
      <c r="A113" s="4" t="str">
        <f>"@dN0_8_"&amp;E36&amp;" == "&amp;F2&amp;"*((@N0_10_"&amp;E36&amp;")-"&amp;D3&amp;")/"&amp;D2&amp;"+"&amp;F3&amp;"-(@N0_8_"&amp;E36&amp;")"</f>
        <v>@dN0_8_4 == 0.108296358595561*((@N0_10_4)-1.48795653837104)/0.0973168789873748+1.49729785693351-(@N0_8_4)</v>
      </c>
    </row>
    <row r="114" spans="1:1" x14ac:dyDescent="0.25">
      <c r="A114" s="4" t="str">
        <f>IF(G1=0,"","@dN0_7_"&amp;E36&amp;" == "&amp;G2&amp;"*((@N0_10_"&amp;E36&amp;")-"&amp;D3&amp;")/"&amp;D2&amp;"+"&amp;G3&amp;"-(@N0_7_"&amp;E36&amp;")")</f>
        <v/>
      </c>
    </row>
    <row r="115" spans="1:1" x14ac:dyDescent="0.25">
      <c r="A115" s="4" t="str">
        <f>IF(H1=0,"","@dN0_6_"&amp;E36&amp;" == "&amp;H2&amp;"*((@N0_10_"&amp;E36&amp;")-"&amp;D3&amp;")/"&amp;D2&amp;"+"&amp;H3&amp;"-(@N0_6_"&amp;E36&amp;")")</f>
        <v/>
      </c>
    </row>
    <row r="116" spans="1:1" x14ac:dyDescent="0.25">
      <c r="A116" s="4" t="str">
        <f>IF(I1=0,"","@dN0_5_"&amp;E36&amp;" == "&amp;I2&amp;"*((@N0_10_"&amp;E36&amp;")-"&amp;D3&amp;")/"&amp;D2&amp;"+"&amp;I3&amp;"-(@N0_5_"&amp;E36&amp;")")</f>
        <v/>
      </c>
    </row>
    <row r="117" spans="1:1" x14ac:dyDescent="0.25">
      <c r="A117" s="4" t="str">
        <f>IF(J1=0,"","@dN0_4_"&amp;E36&amp;" == "&amp;J2&amp;"*((@N0_10_"&amp;E36&amp;")-"&amp;D3&amp;")/"&amp;D2&amp;"+"&amp;J3&amp;"-(@N0_4_"&amp;E36&amp;")")</f>
        <v/>
      </c>
    </row>
    <row r="118" spans="1:1" x14ac:dyDescent="0.25">
      <c r="A118" s="4" t="str">
        <f>IF(K1=0,"","@dN0_3_"&amp;E36&amp;" == "&amp;K2&amp;"*((@N0_10_"&amp;E36&amp;")-"&amp;D3&amp;")/"&amp;D2&amp;"+"&amp;K3&amp;"-(@N0_3_"&amp;E36&amp;")")</f>
        <v/>
      </c>
    </row>
    <row r="119" spans="1:1" x14ac:dyDescent="0.25">
      <c r="A119" s="4" t="str">
        <f>IF(L1=0,"","@dN0_2_"&amp;E36&amp;" == "&amp;L2&amp;"*((@N0_10_"&amp;E36&amp;")-"&amp;D3&amp;")/"&amp;D2&amp;"+"&amp;L3&amp;"-(@N0_2_"&amp;E36&amp;")")</f>
        <v/>
      </c>
    </row>
    <row r="120" spans="1:1" x14ac:dyDescent="0.25">
      <c r="A120" s="4" t="str">
        <f>IF(M1=0,"","@dN0_1_"&amp;E36&amp;" == "&amp;M2&amp;"*((@N0_10_"&amp;E36&amp;")-"&amp;D3&amp;")/"&amp;D2&amp;"+"&amp;M3&amp;"-(@N0_1_"&amp;E36&amp;")")</f>
        <v/>
      </c>
    </row>
    <row r="121" spans="1:1" x14ac:dyDescent="0.25">
      <c r="A121" s="4" t="str">
        <f>"@dN10_9_"&amp;E36&amp;" == ("&amp;E2&amp;"*((@N10_10_"&amp;E36&amp;"))/"&amp;D2&amp;"-(@N10_9_"&amp;E36&amp;"))*(@rmax_"&amp;E36&amp;")**2"</f>
        <v>@dN10_9_4 == (0.100302084101582*((@N10_10_4))/0.0973168789873748-(@N10_9_4))*(@rmax_4)**2</v>
      </c>
    </row>
    <row r="122" spans="1:1" x14ac:dyDescent="0.25">
      <c r="A122" s="4" t="str">
        <f>"@dN10_8_"&amp;E36&amp;" == ("&amp;F2&amp;"*((@N10_10_"&amp;E36&amp;"))/"&amp;D2&amp;"-(@N10_8_"&amp;E36&amp;"))*(@rmax_"&amp;E36&amp;")**2"</f>
        <v>@dN10_8_4 == (0.108296358595561*((@N10_10_4))/0.0973168789873748-(@N10_8_4))*(@rmax_4)**2</v>
      </c>
    </row>
    <row r="123" spans="1:1" x14ac:dyDescent="0.25">
      <c r="A123" s="4" t="str">
        <f>IF(G1=0,"","@dN10_7_"&amp;E36&amp;" == ("&amp;G2&amp;"*((@N10_10_"&amp;E36&amp;"))/"&amp;D2&amp;"-(@N10_7_"&amp;E36&amp;"))*(@rmax_"&amp;E36&amp;")**2")</f>
        <v/>
      </c>
    </row>
    <row r="124" spans="1:1" x14ac:dyDescent="0.25">
      <c r="A124" s="4" t="str">
        <f>IF(H1=0,"","@dN10_6_"&amp;E36&amp;" == ("&amp;H2&amp;"*((@N10_10_"&amp;E36&amp;"))/"&amp;D2&amp;"-(@N10_6_"&amp;E36&amp;"))*(@rmax_"&amp;E36&amp;")**2")</f>
        <v/>
      </c>
    </row>
    <row r="125" spans="1:1" x14ac:dyDescent="0.25">
      <c r="A125" s="4" t="str">
        <f>IF(I1=0,"","@dN10_5_"&amp;E36&amp;" == ("&amp;I2&amp;"*((@N10_10_"&amp;E36&amp;"))/"&amp;D2&amp;"-(@N10_5_"&amp;E36&amp;"))*(@rmax_"&amp;E36&amp;")**2")</f>
        <v/>
      </c>
    </row>
    <row r="126" spans="1:1" x14ac:dyDescent="0.25">
      <c r="A126" s="4" t="str">
        <f>IF(J1=0,"","@dN10_4_"&amp;E36&amp;" == ("&amp;J2&amp;"*((@N10_10_"&amp;E36&amp;"))/"&amp;D2&amp;"-(@N10_4_"&amp;E36&amp;"))*(@rmax_"&amp;E36&amp;")**2")</f>
        <v/>
      </c>
    </row>
    <row r="127" spans="1:1" x14ac:dyDescent="0.25">
      <c r="A127" s="4" t="str">
        <f>IF(K1=0,"","@dN10_3_"&amp;E36&amp;" == ("&amp;K2&amp;"*((@N10_10_"&amp;E36&amp;"))/"&amp;D2&amp;"-(@N10_3_"&amp;E36&amp;"))*(@rmax_"&amp;E36&amp;")**2")</f>
        <v/>
      </c>
    </row>
    <row r="128" spans="1:1" x14ac:dyDescent="0.25">
      <c r="A128" s="4" t="str">
        <f>IF(L1=0,"","@dN10_2_"&amp;E36&amp;" == ("&amp;L2&amp;"*((@N10_10_"&amp;E36&amp;"))/"&amp;D2&amp;"-(@N10_2_"&amp;E36&amp;"))*(@rmax_"&amp;E36&amp;")**2")</f>
        <v/>
      </c>
    </row>
    <row r="129" spans="1:1" x14ac:dyDescent="0.25">
      <c r="A129" s="4" t="str">
        <f>IF(M1=0,"","@dN10_1_"&amp;E36&amp;" == ("&amp;M2&amp;"*((@N10_10_"&amp;E36&amp;"))/"&amp;D2&amp;"-(@N10_1_"&amp;E36&amp;"))*(@rmax_"&amp;E36&amp;")**2")</f>
        <v/>
      </c>
    </row>
    <row r="130" spans="1:1" x14ac:dyDescent="0.25">
      <c r="A130" s="4" t="str">
        <f>"@dN20_9_"&amp;E36&amp;" == ("&amp;E2&amp;"*((@N20_10_"&amp;E36&amp;"))/"&amp;D2&amp;"-(@N20_9_"&amp;E36&amp;"))*(@rmax_"&amp;E36&amp;")**4"</f>
        <v>@dN20_9_4 == (0.100302084101582*((@N20_10_4))/0.0973168789873748-(@N20_9_4))*(@rmax_4)**4</v>
      </c>
    </row>
    <row r="131" spans="1:1" x14ac:dyDescent="0.25">
      <c r="A131" s="4" t="str">
        <f>"@dN20_8_"&amp;E36&amp;" == ("&amp;F2&amp;"*((@N20_10_"&amp;E36&amp;"))/"&amp;D2&amp;"-(@N20_8_"&amp;E36&amp;"))*(@rmax_"&amp;E36&amp;")**4"</f>
        <v>@dN20_8_4 == (0.108296358595561*((@N20_10_4))/0.0973168789873748-(@N20_8_4))*(@rmax_4)**4</v>
      </c>
    </row>
    <row r="132" spans="1:1" x14ac:dyDescent="0.25">
      <c r="A132" s="4" t="str">
        <f>IF(G1=0,"","@dN20_7_"&amp;E36&amp;" == ("&amp;G2&amp;"*((@N20_10_"&amp;E36&amp;"))/"&amp;D2&amp;"-(@N20_7_"&amp;E36&amp;"))*(@rmax_"&amp;E36&amp;")**4")</f>
        <v/>
      </c>
    </row>
    <row r="133" spans="1:1" x14ac:dyDescent="0.25">
      <c r="A133" s="4" t="str">
        <f>IF(H1=0,"","@dN20_6_"&amp;E36&amp;" == ("&amp;H2&amp;"*((@N20_10_"&amp;E36&amp;"))/"&amp;D2&amp;"-(@N20_6_"&amp;E36&amp;"))*(@rmax_"&amp;E36&amp;")**4")</f>
        <v/>
      </c>
    </row>
    <row r="134" spans="1:1" x14ac:dyDescent="0.25">
      <c r="A134" s="4" t="str">
        <f>IF(I1=0,"","@dN20_5_"&amp;E36&amp;" == ("&amp;I2&amp;"*((@N20_10_"&amp;E36&amp;"))/"&amp;D2&amp;"-(@N20_5_"&amp;E36&amp;"))*(@rmax_"&amp;E36&amp;")**4")</f>
        <v/>
      </c>
    </row>
    <row r="135" spans="1:1" x14ac:dyDescent="0.25">
      <c r="A135" s="4" t="str">
        <f>IF(J1=0,"","@dN20_4_"&amp;E36&amp;" == ("&amp;J2&amp;"*((@N20_10_"&amp;E36&amp;"))/"&amp;D2&amp;"-(@N20_4_"&amp;E36&amp;"))*(@rmax_"&amp;E36&amp;")**4")</f>
        <v/>
      </c>
    </row>
    <row r="136" spans="1:1" x14ac:dyDescent="0.25">
      <c r="A136" s="4" t="str">
        <f>IF(K1=0,"","@dN20_3_"&amp;E36&amp;" == ("&amp;K2&amp;"*((@N20_10_"&amp;E36&amp;"))/"&amp;D2&amp;"-(@N20_3_"&amp;E36&amp;"))*(@rmax_"&amp;E36&amp;")**4")</f>
        <v/>
      </c>
    </row>
    <row r="137" spans="1:1" x14ac:dyDescent="0.25">
      <c r="A137" s="4" t="str">
        <f>IF(L1=0,"","@dN20_2_"&amp;E36&amp;" == ("&amp;L2&amp;"*((@N20_10_"&amp;E36&amp;"))/"&amp;D2&amp;"-(@N20_2_"&amp;E36&amp;"))*(@rmax_"&amp;E36&amp;")**4")</f>
        <v/>
      </c>
    </row>
    <row r="138" spans="1:1" x14ac:dyDescent="0.25">
      <c r="A138" s="4" t="str">
        <f>IF(M1=0,"","@dN20_1_"&amp;E36&amp;" == ("&amp;M2&amp;"*((@N20_10_"&amp;E36&amp;"))/"&amp;D2&amp;"-(@N20_1_"&amp;E36&amp;"))*(@rmax_"&amp;E36&amp;")**4")</f>
        <v/>
      </c>
    </row>
    <row r="139" spans="1:1" x14ac:dyDescent="0.25">
      <c r="A139" s="4" t="str">
        <f>"@dN30_9_"&amp;E36&amp;" == ("&amp;E2&amp;"*((@N30_10_"&amp;E36&amp;"))/"&amp;D2&amp;"-(@N30_9_"&amp;E36&amp;"))*(@rmax_"&amp;E36&amp;")**6"</f>
        <v>@dN30_9_4 == (0.100302084101582*((@N30_10_4))/0.0973168789873748-(@N30_9_4))*(@rmax_4)**6</v>
      </c>
    </row>
    <row r="140" spans="1:1" x14ac:dyDescent="0.25">
      <c r="A140" s="4" t="str">
        <f>"@dN30_8_"&amp;E36&amp;" == ("&amp;F2&amp;"*((@N30_10_"&amp;E36&amp;"))/"&amp;D2&amp;"-(@N30_8_"&amp;E36&amp;"))*(@rmax_"&amp;E36&amp;")**6"</f>
        <v>@dN30_8_4 == (0.108296358595561*((@N30_10_4))/0.0973168789873748-(@N30_8_4))*(@rmax_4)**6</v>
      </c>
    </row>
    <row r="141" spans="1:1" x14ac:dyDescent="0.25">
      <c r="A141" s="4" t="str">
        <f>IF(G1=0,"","@dN30_7_"&amp;E36&amp;" == ("&amp;G2&amp;"*((@N30_10_"&amp;E36&amp;"))/"&amp;D2&amp;"-(@N30_7_"&amp;E36&amp;"))*(@rmax_"&amp;E36&amp;")**6")</f>
        <v/>
      </c>
    </row>
    <row r="142" spans="1:1" x14ac:dyDescent="0.25">
      <c r="A142" s="4" t="str">
        <f>IF(H1=0,"","@dN30_6_"&amp;E36&amp;" == ("&amp;H2&amp;"*((@N30_10_"&amp;E36&amp;"))/"&amp;D2&amp;"-(@N30_6_"&amp;E36&amp;"))*(@rmax_"&amp;E36&amp;")**6")</f>
        <v/>
      </c>
    </row>
    <row r="143" spans="1:1" x14ac:dyDescent="0.25">
      <c r="A143" s="4" t="str">
        <f>IF(I1=0,"","@dN30_5_"&amp;E36&amp;" == ("&amp;I2&amp;"*((@N30_10_"&amp;E36&amp;"))/"&amp;D2&amp;"-(@N30_5_"&amp;E36&amp;"))*(@rmax_"&amp;E36&amp;")**6")</f>
        <v/>
      </c>
    </row>
    <row r="144" spans="1:1" x14ac:dyDescent="0.25">
      <c r="A144" s="4" t="str">
        <f>IF(J1=0,"","@dN30_4_"&amp;E36&amp;" == ("&amp;J2&amp;"*((@N30_10_"&amp;E36&amp;"))/"&amp;D2&amp;"-(@N30_4_"&amp;E36&amp;"))*(@rmax_"&amp;E36&amp;")**6")</f>
        <v/>
      </c>
    </row>
    <row r="145" spans="1:1" x14ac:dyDescent="0.25">
      <c r="A145" s="4" t="str">
        <f>IF(K1=0,"","@dN30_3_"&amp;E36&amp;" == ("&amp;K2&amp;"*((@N30_10_"&amp;E36&amp;"))/"&amp;D2&amp;"-(@N30_3_"&amp;E36&amp;"))*(@rmax_"&amp;E36&amp;")**6")</f>
        <v/>
      </c>
    </row>
    <row r="146" spans="1:1" x14ac:dyDescent="0.25">
      <c r="A146" s="4" t="str">
        <f>IF(L1=0,"","@dN30_2_"&amp;E36&amp;" == ("&amp;L2&amp;"*((@N30_10_"&amp;E36&amp;"))/"&amp;D2&amp;"-(@N30_2_"&amp;E36&amp;"))*(@rmax_"&amp;E36&amp;")**6")</f>
        <v/>
      </c>
    </row>
    <row r="147" spans="1:1" x14ac:dyDescent="0.25">
      <c r="A147" s="4" t="str">
        <f>IF(M1=0,"","@dN30_1_"&amp;E36&amp;" == ("&amp;M2&amp;"*((@N30_10_"&amp;E36&amp;"))/"&amp;D2&amp;"-(@N30_1_"&amp;E36&amp;"))*(@rmax_"&amp;E36&amp;")**6")</f>
        <v/>
      </c>
    </row>
    <row r="148" spans="1:1" x14ac:dyDescent="0.25">
      <c r="A148" s="4" t="str">
        <f>"@dN40_9_"&amp;E36&amp;" == ("&amp;E2&amp;"*((@N40_10_"&amp;E36&amp;"))/"&amp;D2&amp;"-(@N40_9_"&amp;E36&amp;"))*(@rmax_"&amp;E36&amp;")**8"</f>
        <v>@dN40_9_4 == (0.100302084101582*((@N40_10_4))/0.0973168789873748-(@N40_9_4))*(@rmax_4)**8</v>
      </c>
    </row>
    <row r="149" spans="1:1" x14ac:dyDescent="0.25">
      <c r="A149" s="4" t="str">
        <f>"@dN40_8_"&amp;E36&amp;" == ("&amp;F2&amp;"*((@N40_10_"&amp;E36&amp;"))/"&amp;D2&amp;"-(@N40_8_"&amp;E36&amp;"))*(@rmax_"&amp;E36&amp;")**8"</f>
        <v>@dN40_8_4 == (0.108296358595561*((@N40_10_4))/0.0973168789873748-(@N40_8_4))*(@rmax_4)**8</v>
      </c>
    </row>
    <row r="150" spans="1:1" x14ac:dyDescent="0.25">
      <c r="A150" s="4" t="str">
        <f>IF(G1=0,"","@dN40_7_"&amp;E36&amp;" == ("&amp;G2&amp;"*((@N40_10_"&amp;E36&amp;"))/"&amp;D2&amp;"-(@N40_7_"&amp;E36&amp;"))*(@rmax_"&amp;E36&amp;")**8")</f>
        <v/>
      </c>
    </row>
    <row r="151" spans="1:1" x14ac:dyDescent="0.25">
      <c r="A151" s="4" t="str">
        <f>IF(H1=0,"","@dN40_6_"&amp;E36&amp;" == ("&amp;H2&amp;"*((@N40_10_"&amp;E36&amp;"))/"&amp;D2&amp;"-(@N40_6_"&amp;E36&amp;"))*(@rmax_"&amp;E36&amp;")**8")</f>
        <v/>
      </c>
    </row>
    <row r="152" spans="1:1" x14ac:dyDescent="0.25">
      <c r="A152" s="4" t="str">
        <f>IF(I1=0,"","@dN40_5_"&amp;E36&amp;" == ("&amp;I2&amp;"*((@N40_10_"&amp;E36&amp;"))/"&amp;D2&amp;"-(@N40_5_"&amp;E36&amp;"))*(@rmax_"&amp;E36&amp;")**8")</f>
        <v/>
      </c>
    </row>
    <row r="153" spans="1:1" x14ac:dyDescent="0.25">
      <c r="A153" s="4" t="str">
        <f>IF(J1=0,"","@dN40_4_"&amp;E36&amp;" == ("&amp;J2&amp;"*((@N40_10_"&amp;E36&amp;"))/"&amp;D2&amp;"-(@N40_4_"&amp;E36&amp;"))*(@rmax_"&amp;E36&amp;")**8")</f>
        <v/>
      </c>
    </row>
    <row r="154" spans="1:1" x14ac:dyDescent="0.25">
      <c r="A154" s="4" t="str">
        <f>IF(K1=0,"","@dN40_3_"&amp;E36&amp;" == ("&amp;K2&amp;"*((@N40_10_"&amp;E36&amp;"))/"&amp;D2&amp;"-(@N40_3_"&amp;E36&amp;"))*(@rmax_"&amp;E36&amp;")**8")</f>
        <v/>
      </c>
    </row>
    <row r="155" spans="1:1" x14ac:dyDescent="0.25">
      <c r="A155" s="4" t="str">
        <f>IF(L1=0,"","@dN40_2_"&amp;E36&amp;" == ("&amp;L2&amp;"*((@N40_10_"&amp;E36&amp;"))/"&amp;D2&amp;"-(@N40_2_"&amp;E36&amp;"))*(@rmax_"&amp;E36&amp;")**8")</f>
        <v/>
      </c>
    </row>
    <row r="156" spans="1:1" x14ac:dyDescent="0.25">
      <c r="A156" s="4" t="str">
        <f>IF(M1=0,"","@dN40_1_"&amp;E36&amp;" == ("&amp;M2&amp;"*((@N40_10_"&amp;E36&amp;"))/"&amp;D2&amp;"-(@N40_1_"&amp;E36&amp;"))*(@rmax_"&amp;E36&amp;")**8")</f>
        <v/>
      </c>
    </row>
    <row r="157" spans="1:1" x14ac:dyDescent="0.25">
      <c r="A157" s="4" t="str">
        <f>"@dN01_9_"&amp;E36&amp;" == ("&amp;E2&amp;"*(@N01_10_"&amp;E36&amp;")/"&amp;D2&amp;"-(@N01_9_"&amp;E36&amp;"))*((@zmax_"&amp;E36&amp;")-(@zmin_"&amp;E36&amp;"))"</f>
        <v>@dN01_9_4 == (0.100302084101582*(@N01_10_4)/0.0973168789873748-(@N01_9_4))*((@zmax_4)-(@zmin_4))</v>
      </c>
    </row>
    <row r="158" spans="1:1" x14ac:dyDescent="0.25">
      <c r="A158" s="4" t="str">
        <f>"@dN01_8_"&amp;E36&amp;" == ("&amp;F2&amp;"*(@N01_10_"&amp;E36&amp;")/"&amp;D2&amp;"-(@N01_8_"&amp;E36&amp;"))*((@zmax_"&amp;E36&amp;")-(@zmin_"&amp;E36&amp;"))"</f>
        <v>@dN01_8_4 == (0.108296358595561*(@N01_10_4)/0.0973168789873748-(@N01_8_4))*((@zmax_4)-(@zmin_4))</v>
      </c>
    </row>
    <row r="159" spans="1:1" x14ac:dyDescent="0.25">
      <c r="A159" s="4" t="str">
        <f>IF(G1=0,"","@dN01_7_"&amp;E36&amp;" == ("&amp;G2&amp;"*(@N01_10_"&amp;E36&amp;")/"&amp;D2&amp;"-(@N01_7_"&amp;E36&amp;"))*((@zmax_"&amp;E36&amp;")-(@zmin_"&amp;E36&amp;"))")</f>
        <v/>
      </c>
    </row>
    <row r="160" spans="1:1" x14ac:dyDescent="0.25">
      <c r="A160" s="4" t="str">
        <f>IF(H1=0,"","@dN01_6_"&amp;E36&amp;" == ("&amp;H2&amp;"*(@N01_10_"&amp;E36&amp;")/"&amp;D2&amp;"-(@N01_6_"&amp;E36&amp;"))*((@zmax_"&amp;E36&amp;")-(@zmin_"&amp;E36&amp;"))")</f>
        <v/>
      </c>
    </row>
    <row r="161" spans="1:11" x14ac:dyDescent="0.25">
      <c r="A161" s="4" t="str">
        <f>IF(I1=0,"","@dN01_5_"&amp;E36&amp;" == ("&amp;I2&amp;"*(@N01_10_"&amp;E36&amp;")/"&amp;D2&amp;"-(@N01_5_"&amp;E36&amp;"))*((@zmax_"&amp;E36&amp;")-(@zmin_"&amp;E36&amp;"))")</f>
        <v/>
      </c>
    </row>
    <row r="162" spans="1:11" x14ac:dyDescent="0.25">
      <c r="A162" s="4" t="str">
        <f>IF(J1=0,"","@dN01_4_"&amp;E36&amp;" == ("&amp;J2&amp;"*(@N01_10_"&amp;E36&amp;")/"&amp;D2&amp;"-(@N01_4_"&amp;E36&amp;"))*((@zmax_"&amp;E36&amp;")-(@zmin_"&amp;E36&amp;"))")</f>
        <v/>
      </c>
    </row>
    <row r="163" spans="1:11" x14ac:dyDescent="0.25">
      <c r="A163" s="4" t="str">
        <f>IF(K1=0,"","@dN01_3_"&amp;E36&amp;" == ("&amp;K2&amp;"*(@N01_10_"&amp;E36&amp;")/"&amp;D2&amp;"-(@N01_3_"&amp;E36&amp;"))*((@zmax_"&amp;E36&amp;")-(@zmin_"&amp;E36&amp;"))")</f>
        <v/>
      </c>
    </row>
    <row r="164" spans="1:11" x14ac:dyDescent="0.25">
      <c r="A164" s="4" t="str">
        <f>IF(L1=0,"","@dN01_2_"&amp;E36&amp;" == ("&amp;L2&amp;"*(@N01_10_"&amp;E36&amp;")/"&amp;D2&amp;"-(@N01_2_"&amp;E36&amp;"))*((@zmax_"&amp;E36&amp;")-(@zmin_"&amp;E36&amp;"))")</f>
        <v/>
      </c>
    </row>
    <row r="165" spans="1:11" x14ac:dyDescent="0.25">
      <c r="A165" s="4" t="str">
        <f>IF(M1=0,"","@dN01_1_"&amp;E36&amp;" == ("&amp;M2&amp;"*(@N01_10_"&amp;E36&amp;")/"&amp;D2&amp;"-(@N01_1_"&amp;E36&amp;"))*((@zmax_"&amp;E36&amp;")-(@zmin_"&amp;E36&amp;"))")</f>
        <v/>
      </c>
    </row>
    <row r="166" spans="1:11" x14ac:dyDescent="0.25">
      <c r="A166" s="4" t="str">
        <f>"! Constrain gradient coefficients"</f>
        <v>! Constrain gradient coefficients</v>
      </c>
    </row>
    <row r="167" spans="1:11" x14ac:dyDescent="0.25">
      <c r="A167" s="4" t="str">
        <f>IF(C16="yes","@dN0_9_"&amp;E36&amp;" = 0","")</f>
        <v>@dN0_9_4 = 0</v>
      </c>
    </row>
    <row r="168" spans="1:11" x14ac:dyDescent="0.25">
      <c r="A168" s="4" t="str">
        <f>IF(C16="yes","@dN0_8_"&amp;E36&amp;" = 0","")</f>
        <v>@dN0_8_4 = 0</v>
      </c>
      <c r="C168" s="4"/>
      <c r="D168" s="4"/>
      <c r="E168" s="4"/>
      <c r="F168" s="4"/>
      <c r="G168" s="4"/>
      <c r="H168" s="4"/>
      <c r="I168" s="4"/>
      <c r="J168" s="4"/>
      <c r="K168" s="4"/>
    </row>
    <row r="169" spans="1:11" x14ac:dyDescent="0.25">
      <c r="A169" s="4" t="str">
        <f>IF(C16="yes",IF(G1=0,"","@dN0_7_"&amp;E36&amp;" = 0"),"")</f>
        <v/>
      </c>
      <c r="C169" s="4"/>
      <c r="D169" s="4"/>
      <c r="E169" s="4"/>
      <c r="F169" s="4"/>
      <c r="G169" s="4"/>
      <c r="H169" s="4"/>
      <c r="I169" s="4"/>
      <c r="J169" s="4"/>
      <c r="K169" s="4"/>
    </row>
    <row r="170" spans="1:11" x14ac:dyDescent="0.25">
      <c r="A170" s="4" t="str">
        <f>IF(C16="yes",IF(H1=0,"","@dN0_6_"&amp;E36&amp;" = 0"),"")</f>
        <v/>
      </c>
      <c r="C170" s="4"/>
      <c r="D170" s="4"/>
      <c r="E170" s="4"/>
      <c r="F170" s="4"/>
      <c r="G170" s="4"/>
      <c r="H170" s="4"/>
      <c r="I170" s="4"/>
      <c r="J170" s="4"/>
      <c r="K170" s="4"/>
    </row>
    <row r="171" spans="1:11" x14ac:dyDescent="0.25">
      <c r="A171" s="4" t="str">
        <f>IF(C16="yes",IF(I1=0,"","@dN0_5_"&amp;E36&amp;" = 0"),"")</f>
        <v/>
      </c>
      <c r="C171" s="4"/>
      <c r="D171" s="4"/>
      <c r="E171" s="4"/>
      <c r="F171" s="4"/>
      <c r="G171" s="4"/>
      <c r="H171" s="4"/>
      <c r="I171" s="4"/>
      <c r="J171" s="4"/>
      <c r="K171" s="4"/>
    </row>
    <row r="172" spans="1:11" x14ac:dyDescent="0.25">
      <c r="A172" s="4" t="str">
        <f>IF(C16="yes",IF(J1=0,"","@dN0_4_"&amp;E36&amp;" = 0"),"")</f>
        <v/>
      </c>
      <c r="C172" s="4"/>
      <c r="D172" s="4"/>
      <c r="E172" s="4"/>
      <c r="F172" s="4"/>
      <c r="G172" s="4"/>
      <c r="H172" s="4"/>
      <c r="I172" s="4"/>
      <c r="J172" s="4"/>
      <c r="K172" s="4"/>
    </row>
    <row r="173" spans="1:11" x14ac:dyDescent="0.25">
      <c r="A173" s="4" t="str">
        <f>IF(C16="yes",IF(K1=0,"","@dN0_3_"&amp;E36&amp;" = 0"),"")</f>
        <v/>
      </c>
      <c r="C173" s="4"/>
      <c r="D173" s="4"/>
      <c r="E173" s="4"/>
      <c r="F173" s="4"/>
      <c r="G173" s="4"/>
      <c r="H173" s="4"/>
      <c r="I173" s="4"/>
      <c r="J173" s="4"/>
      <c r="K173" s="4"/>
    </row>
    <row r="174" spans="1:11" x14ac:dyDescent="0.25">
      <c r="A174" s="4" t="str">
        <f>IF(C16="yes",IF(L1=0,"","@dN0_2_"&amp;E36&amp;" = 0"),"")</f>
        <v/>
      </c>
      <c r="C174" s="4"/>
      <c r="D174" s="4"/>
      <c r="E174" s="4"/>
      <c r="F174" s="4"/>
      <c r="G174" s="4"/>
      <c r="H174" s="4"/>
      <c r="I174" s="4"/>
      <c r="J174" s="4"/>
      <c r="K174" s="4"/>
    </row>
    <row r="175" spans="1:11" x14ac:dyDescent="0.25">
      <c r="A175" s="4" t="str">
        <f>IF(C16="yes",IF(M1=0,"","@dN0_1_"&amp;E36&amp;" = 0"),"")</f>
        <v/>
      </c>
      <c r="C175" s="4"/>
      <c r="D175" s="4"/>
      <c r="E175" s="4"/>
      <c r="F175" s="4"/>
      <c r="G175" s="4"/>
      <c r="H175" s="4"/>
      <c r="I175" s="4"/>
      <c r="J175" s="4"/>
      <c r="K175" s="4"/>
    </row>
    <row r="176" spans="1:11" x14ac:dyDescent="0.25">
      <c r="A176" s="4" t="str">
        <f>IF(C17="yes","@dN10_9_"&amp;E36&amp;" = 0;","")</f>
        <v>@dN10_9_4 = 0;</v>
      </c>
      <c r="C176" s="4"/>
      <c r="D176" s="4"/>
      <c r="E176" s="4"/>
      <c r="F176" s="4"/>
      <c r="G176" s="4"/>
      <c r="H176" s="4"/>
      <c r="I176" s="4"/>
      <c r="J176" s="4"/>
      <c r="K176" s="4"/>
    </row>
    <row r="177" spans="1:1" x14ac:dyDescent="0.25">
      <c r="A177" s="4" t="str">
        <f>IF(C17="yes","@dN10_8_"&amp;E36&amp;" = 0;","")</f>
        <v>@dN10_8_4 = 0;</v>
      </c>
    </row>
    <row r="178" spans="1:1" x14ac:dyDescent="0.25">
      <c r="A178" s="4" t="str">
        <f>IF(C17="yes",IF(G1=0,"","@dN10_7_"&amp;E36&amp;" = 0;"),"")</f>
        <v/>
      </c>
    </row>
    <row r="179" spans="1:1" x14ac:dyDescent="0.25">
      <c r="A179" s="4" t="str">
        <f>IF(C17="yes",IF(H1=0,"","@dN10_6_"&amp;E36&amp;" = 0;"),"")</f>
        <v/>
      </c>
    </row>
    <row r="180" spans="1:1" x14ac:dyDescent="0.25">
      <c r="A180" s="4" t="str">
        <f>IF(C17="yes",IF(I1=0,"","@dN10_5_"&amp;E36&amp;" = 0;"),"")</f>
        <v/>
      </c>
    </row>
    <row r="181" spans="1:1" x14ac:dyDescent="0.25">
      <c r="A181" s="4" t="str">
        <f>IF(C17="yes",IF(J1=0,"","@dN10_4_"&amp;E36&amp;" = 0;"),"")</f>
        <v/>
      </c>
    </row>
    <row r="182" spans="1:1" x14ac:dyDescent="0.25">
      <c r="A182" s="4" t="str">
        <f>IF(C17="yes",IF(K1=0,"","@dN10_3_"&amp;E36&amp;" = 0;"),"")</f>
        <v/>
      </c>
    </row>
    <row r="183" spans="1:1" x14ac:dyDescent="0.25">
      <c r="A183" s="4" t="str">
        <f>IF(C17="yes",IF(L1=0,"","@dN10_2_"&amp;E36&amp;" = 0;"),"")</f>
        <v/>
      </c>
    </row>
    <row r="184" spans="1:1" x14ac:dyDescent="0.25">
      <c r="A184" s="4" t="str">
        <f>IF(C17="yes",IF(M1=0,"","@dN10_1_"&amp;E36&amp;" = 0;"),"")</f>
        <v/>
      </c>
    </row>
    <row r="185" spans="1:1" x14ac:dyDescent="0.25">
      <c r="A185" s="4" t="str">
        <f>IF(C18="yes","@dN20_9_"&amp;E36&amp;" = 0;","")</f>
        <v>@dN20_9_4 = 0;</v>
      </c>
    </row>
    <row r="186" spans="1:1" x14ac:dyDescent="0.25">
      <c r="A186" s="4" t="str">
        <f>IF(C18="yes","@dN20_8_"&amp;E36&amp;" = 0;","")</f>
        <v>@dN20_8_4 = 0;</v>
      </c>
    </row>
    <row r="187" spans="1:1" x14ac:dyDescent="0.25">
      <c r="A187" s="4" t="str">
        <f>IF(C18="yes",IF(G1=0,"","@dN20_7_"&amp;E36&amp;" = 0;"),"")</f>
        <v/>
      </c>
    </row>
    <row r="188" spans="1:1" x14ac:dyDescent="0.25">
      <c r="A188" s="4" t="str">
        <f>IF(C18="yes",IF(H1=0,"","@dN20_6_"&amp;E36&amp;" = 0;"),"")</f>
        <v/>
      </c>
    </row>
    <row r="189" spans="1:1" x14ac:dyDescent="0.25">
      <c r="A189" s="4" t="str">
        <f>IF(C18="yes",IF(I1=0,"","@dN20_5_"&amp;E36&amp;" = 0;"),"")</f>
        <v/>
      </c>
    </row>
    <row r="190" spans="1:1" x14ac:dyDescent="0.25">
      <c r="A190" s="4" t="str">
        <f>IF(C18="yes",IF(J1=0,"","@dN20_4_"&amp;E36&amp;" = 0;"),"")</f>
        <v/>
      </c>
    </row>
    <row r="191" spans="1:1" x14ac:dyDescent="0.25">
      <c r="A191" s="4" t="str">
        <f>IF(C18="yes",IF(K1=0,"","@dN20_3_"&amp;E36&amp;" = 0;"),"")</f>
        <v/>
      </c>
    </row>
    <row r="192" spans="1:1" x14ac:dyDescent="0.25">
      <c r="A192" s="4" t="str">
        <f>IF(C18="yes",IF(L1=0,"","@dN20_2_"&amp;E36&amp;" = 0;"),"")</f>
        <v/>
      </c>
    </row>
    <row r="193" spans="1:1" x14ac:dyDescent="0.25">
      <c r="A193" s="4" t="str">
        <f>IF(C18="yes",IF(M1=0,"","@dN20_1_"&amp;E36&amp;" = 0;"),"")</f>
        <v/>
      </c>
    </row>
    <row r="194" spans="1:1" x14ac:dyDescent="0.25">
      <c r="A194" s="4" t="str">
        <f>IF(C19="yes","@dN30_9_"&amp;E36&amp;" = 0;","")</f>
        <v>@dN30_9_4 = 0;</v>
      </c>
    </row>
    <row r="195" spans="1:1" x14ac:dyDescent="0.25">
      <c r="A195" s="4" t="str">
        <f>IF(C19="yes","@dN30_8_"&amp;E36&amp;" = 0;","")</f>
        <v>@dN30_8_4 = 0;</v>
      </c>
    </row>
    <row r="196" spans="1:1" x14ac:dyDescent="0.25">
      <c r="A196" s="4" t="str">
        <f>IF(C19="yes",IF(G1=0,"","@dN30_7_"&amp;E36&amp;" = 0;"),"")</f>
        <v/>
      </c>
    </row>
    <row r="197" spans="1:1" x14ac:dyDescent="0.25">
      <c r="A197" s="4" t="str">
        <f>IF(C19="yes",IF(H1=0,"","@dN30_6_"&amp;E36&amp;" = 0;"),"")</f>
        <v/>
      </c>
    </row>
    <row r="198" spans="1:1" x14ac:dyDescent="0.25">
      <c r="A198" s="4" t="str">
        <f>IF(C19="yes",IF(I1=0,"","@dN30_5_"&amp;E36&amp;" = 0;"),"")</f>
        <v/>
      </c>
    </row>
    <row r="199" spans="1:1" x14ac:dyDescent="0.25">
      <c r="A199" s="4" t="str">
        <f>IF(C19="yes",IF(J1=0,"","@dN30_4_"&amp;E36&amp;" = 0;"),"")</f>
        <v/>
      </c>
    </row>
    <row r="200" spans="1:1" x14ac:dyDescent="0.25">
      <c r="A200" s="4" t="str">
        <f>IF(C19="yes",IF(K1=0,"","@dN30_3_"&amp;E36&amp;" = 0;"),"")</f>
        <v/>
      </c>
    </row>
    <row r="201" spans="1:1" x14ac:dyDescent="0.25">
      <c r="A201" s="4" t="str">
        <f>IF(C19="yes",IF(L1=0,"","@dN30_2_"&amp;E36&amp;" = 0;"),"")</f>
        <v/>
      </c>
    </row>
    <row r="202" spans="1:1" x14ac:dyDescent="0.25">
      <c r="A202" s="4" t="str">
        <f>IF(C19="yes",IF(M1=0,"","@dN30_1_"&amp;E36&amp;" = 0;"),"")</f>
        <v/>
      </c>
    </row>
    <row r="203" spans="1:1" x14ac:dyDescent="0.25">
      <c r="A203" s="4" t="str">
        <f>IF(C20="yes","@dN40_9_"&amp;E36&amp;" = 0;","")</f>
        <v>@dN40_9_4 = 0;</v>
      </c>
    </row>
    <row r="204" spans="1:1" x14ac:dyDescent="0.25">
      <c r="A204" s="4" t="str">
        <f>IF(C20="yes","@dN40_8_"&amp;E36&amp;" = 0;","")</f>
        <v>@dN40_8_4 = 0;</v>
      </c>
    </row>
    <row r="205" spans="1:1" x14ac:dyDescent="0.25">
      <c r="A205" s="4" t="str">
        <f>IF(C20="yes",IF(G1=0,"","@dN40_7_"&amp;E36&amp;" = 0;"),"")</f>
        <v/>
      </c>
    </row>
    <row r="206" spans="1:1" x14ac:dyDescent="0.25">
      <c r="A206" s="4" t="str">
        <f>IF(C20="yes",IF(H1=0,"","@dN40_6_"&amp;E36&amp;" = 0;"),"")</f>
        <v/>
      </c>
    </row>
    <row r="207" spans="1:1" x14ac:dyDescent="0.25">
      <c r="A207" s="4" t="str">
        <f>IF(C20="yes",IF(I1=0,"","@dN40_5_"&amp;E36&amp;" = 0;"),"")</f>
        <v/>
      </c>
    </row>
    <row r="208" spans="1:1" x14ac:dyDescent="0.25">
      <c r="A208" s="4" t="str">
        <f>IF(C20="yes",IF(J1=0,"","@dN40_4_"&amp;E36&amp;" = 0;"),"")</f>
        <v/>
      </c>
    </row>
    <row r="209" spans="1:1" x14ac:dyDescent="0.25">
      <c r="A209" s="4" t="str">
        <f>IF(C20="yes",IF(K1=0,"","@dN40_3_"&amp;E36&amp;" = 0;"),"")</f>
        <v/>
      </c>
    </row>
    <row r="210" spans="1:1" x14ac:dyDescent="0.25">
      <c r="A210" s="4" t="str">
        <f>IF(C20="yes",IF(L1=0,"","@dN40_2_"&amp;E36&amp;" = 0;"),"")</f>
        <v/>
      </c>
    </row>
    <row r="211" spans="1:1" x14ac:dyDescent="0.25">
      <c r="A211" s="4" t="str">
        <f>IF(C19="yes",IF(M1=0,"","@dN40_1_"&amp;E36&amp;" = 0;"),"")</f>
        <v/>
      </c>
    </row>
    <row r="212" spans="1:1" x14ac:dyDescent="0.25">
      <c r="A212" s="4" t="str">
        <f>IF(C21="yes","@dN01_9_"&amp;E36&amp;" = 0;","")</f>
        <v>@dN01_9_4 = 0;</v>
      </c>
    </row>
    <row r="213" spans="1:1" x14ac:dyDescent="0.25">
      <c r="A213" s="4" t="str">
        <f>IF(C21="yes","@dN01_8_"&amp;E36&amp;" = 0;","")</f>
        <v>@dN01_8_4 = 0;</v>
      </c>
    </row>
    <row r="214" spans="1:1" x14ac:dyDescent="0.25">
      <c r="A214" s="4" t="str">
        <f>IF(C21="yes",IF(G1=0,"","@dN01_7_"&amp;E36&amp;" = 0;"),"")</f>
        <v/>
      </c>
    </row>
    <row r="215" spans="1:1" x14ac:dyDescent="0.25">
      <c r="A215" s="4" t="str">
        <f>IF(C21="yes",IF(H1=0,"","@dN01_6_"&amp;E36&amp;" = 0;"),"")</f>
        <v/>
      </c>
    </row>
    <row r="216" spans="1:1" x14ac:dyDescent="0.25">
      <c r="A216" s="4" t="str">
        <f>IF(C21="yes",IF(I1=0,"","@dN01_5_"&amp;E36&amp;" = 0;"),"")</f>
        <v/>
      </c>
    </row>
    <row r="217" spans="1:1" x14ac:dyDescent="0.25">
      <c r="A217" s="4" t="str">
        <f>IF(C21="yes",IF(J1=0,"","@dN01_4_"&amp;E36&amp;" = 0;"),"")</f>
        <v/>
      </c>
    </row>
    <row r="218" spans="1:1" x14ac:dyDescent="0.25">
      <c r="A218" s="4" t="str">
        <f>IF(C21="yes",IF(K1=0,"","@dN01_3_"&amp;E36&amp;" = 0;"),"")</f>
        <v/>
      </c>
    </row>
    <row r="219" spans="1:1" x14ac:dyDescent="0.25">
      <c r="A219" s="4" t="str">
        <f>IF(C21="yes",IF(L1=0,"","@dN01_2_"&amp;E36&amp;" = 0;"),"")</f>
        <v/>
      </c>
    </row>
    <row r="220" spans="1:1" x14ac:dyDescent="0.25">
      <c r="A220" s="4" t="str">
        <f>IF(C21="yes",IF(M1=0,"","@dN01_1_"&amp;E36&amp;" = 0;"),"")</f>
        <v/>
      </c>
    </row>
    <row r="221" spans="1:1" x14ac:dyDescent="0.25">
      <c r="A221" s="4"/>
    </row>
    <row r="222" spans="1:1" x14ac:dyDescent="0.25">
      <c r="A222" s="74" t="str">
        <f>"! Define maximum and minimum index and concentration from index profile at longest wavelength"</f>
        <v>! Define maximum and minimum index and concentration from index profile at longest wavelength</v>
      </c>
    </row>
    <row r="223" spans="1:1" x14ac:dyDescent="0.25">
      <c r="A223" s="53"/>
    </row>
    <row r="224" spans="1:1" x14ac:dyDescent="0.25">
      <c r="A224" s="53" t="str">
        <f>"! Constrain radial line scan indices"</f>
        <v>! Constrain radial line scan indices</v>
      </c>
    </row>
    <row r="225" spans="1:1" x14ac:dyDescent="0.25">
      <c r="A225" s="53" t="str">
        <f>"@H_"&amp;E36&amp;" == (CT S'grin"&amp;E36&amp;"')/2 "</f>
        <v xml:space="preserve">@H_4 == (CT S'grin4')/2 </v>
      </c>
    </row>
    <row r="226" spans="1:1" x14ac:dyDescent="0.25">
      <c r="A226" s="4" t="str">
        <f>"@r0_"&amp;E36&amp;" == @N0_10_"&amp;E36&amp;"+@N01_10_"&amp;E36&amp;"*@H_"&amp;E36&amp;"+(@N10_10_"&amp;E36&amp;")*(0*@rmax_"&amp;E36&amp;")**2+(@N20_10_"&amp;E36&amp;")*(0*@rmax_"&amp;E36&amp;")**4+(@N30_10_"&amp;E36&amp;")*(0*@rmax_"&amp;E36&amp;")**6+(@N40_10_"&amp;E36&amp;")*(0*@rmax_"&amp;E36&amp;")**8"</f>
        <v>@r0_4 == @N0_10_4+@N01_10_4*@H_4+(@N10_10_4)*(0*@rmax_4)**2+(@N20_10_4)*(0*@rmax_4)**4+(@N30_10_4)*(0*@rmax_4)**6+(@N40_10_4)*(0*@rmax_4)**8</v>
      </c>
    </row>
    <row r="227" spans="1:1" x14ac:dyDescent="0.25">
      <c r="A227" s="4" t="str">
        <f>"@r1_"&amp;E36&amp;" == @N0_10_"&amp;E36&amp;"+@N01_10_"&amp;E36&amp;"*@H_"&amp;E36&amp;"+(@N10_10_"&amp;E36&amp;")*(0.1*@rmax_"&amp;E36&amp;")**2+(@N20_10_"&amp;E36&amp;")*(0.1*@rmax_"&amp;E36&amp;")**4+(@N30_10_"&amp;E36&amp;")*(0.1*@rmax_"&amp;E36&amp;")**6+(@N40_10_"&amp;E36&amp;")*(0.1*@rmax_"&amp;E36&amp;")**8"</f>
        <v>@r1_4 == @N0_10_4+@N01_10_4*@H_4+(@N10_10_4)*(0.1*@rmax_4)**2+(@N20_10_4)*(0.1*@rmax_4)**4+(@N30_10_4)*(0.1*@rmax_4)**6+(@N40_10_4)*(0.1*@rmax_4)**8</v>
      </c>
    </row>
    <row r="228" spans="1:1" x14ac:dyDescent="0.25">
      <c r="A228" s="4" t="str">
        <f>"@r2_"&amp;E36&amp;" == @N0_10_"&amp;E36&amp;"+@N01_10_"&amp;E36&amp;"*@H_"&amp;E36&amp;"+(@N10_10_"&amp;E36&amp;")*(0.2*@rmax_"&amp;E36&amp;")**2+(@N20_10_"&amp;E36&amp;")*(0.2*@rmax_"&amp;E36&amp;")**4+(@N30_10_"&amp;E36&amp;")*(0.2*@rmax_"&amp;E36&amp;")**6+(@N40_10_"&amp;E36&amp;")*(0.2*@rmax_"&amp;E36&amp;")**8"</f>
        <v>@r2_4 == @N0_10_4+@N01_10_4*@H_4+(@N10_10_4)*(0.2*@rmax_4)**2+(@N20_10_4)*(0.2*@rmax_4)**4+(@N30_10_4)*(0.2*@rmax_4)**6+(@N40_10_4)*(0.2*@rmax_4)**8</v>
      </c>
    </row>
    <row r="229" spans="1:1" x14ac:dyDescent="0.25">
      <c r="A229" s="4" t="str">
        <f>"@r3_"&amp;E36&amp;" == @N0_10_"&amp;E36&amp;"+@N01_10_"&amp;E36&amp;"*@H_"&amp;E36&amp;"+(@N10_10_"&amp;E36&amp;")*(0.3*@rmax_"&amp;E36&amp;")**2+(@N20_10_"&amp;E36&amp;")*(0.3*@rmax_"&amp;E36&amp;")**4+(@N30_10_"&amp;E36&amp;")*(0.3*@rmax_"&amp;E36&amp;")**6+(@N40_10_"&amp;E36&amp;")*(0.3*@rmax_"&amp;E36&amp;")**8"</f>
        <v>@r3_4 == @N0_10_4+@N01_10_4*@H_4+(@N10_10_4)*(0.3*@rmax_4)**2+(@N20_10_4)*(0.3*@rmax_4)**4+(@N30_10_4)*(0.3*@rmax_4)**6+(@N40_10_4)*(0.3*@rmax_4)**8</v>
      </c>
    </row>
    <row r="230" spans="1:1" x14ac:dyDescent="0.25">
      <c r="A230" s="4" t="str">
        <f>"@r4_"&amp;E36&amp;" == @N0_10_"&amp;E36&amp;"+@N01_10_"&amp;E36&amp;"*@H_"&amp;E36&amp;"+(@N10_10_"&amp;E36&amp;")*(0.4*@rmax_"&amp;E36&amp;")**2+(@N20_10_"&amp;E36&amp;")*(0.4*@rmax_"&amp;E36&amp;")**4+(@N30_10_"&amp;E36&amp;")*(0.4*@rmax_"&amp;E36&amp;")**6+(@N40_10_"&amp;E36&amp;")*(0.4*@rmax_"&amp;E36&amp;")**8"</f>
        <v>@r4_4 == @N0_10_4+@N01_10_4*@H_4+(@N10_10_4)*(0.4*@rmax_4)**2+(@N20_10_4)*(0.4*@rmax_4)**4+(@N30_10_4)*(0.4*@rmax_4)**6+(@N40_10_4)*(0.4*@rmax_4)**8</v>
      </c>
    </row>
    <row r="231" spans="1:1" x14ac:dyDescent="0.25">
      <c r="A231" s="4" t="str">
        <f>"@r5_"&amp;E36&amp;" == @N0_10_"&amp;E36&amp;"+@N01_10_"&amp;E36&amp;"*@H_"&amp;E36&amp;"+(@N10_10_"&amp;E36&amp;")*(0.5*@rmax_"&amp;E36&amp;")**2+(@N20_10_"&amp;E36&amp;")*(0.5*@rmax_"&amp;E36&amp;")**4+(@N30_10_"&amp;E36&amp;")*(0.5*@rmax_"&amp;E36&amp;")**6+(@N40_10_"&amp;E36&amp;")*(0.5*@rmax_"&amp;E36&amp;")**8"</f>
        <v>@r5_4 == @N0_10_4+@N01_10_4*@H_4+(@N10_10_4)*(0.5*@rmax_4)**2+(@N20_10_4)*(0.5*@rmax_4)**4+(@N30_10_4)*(0.5*@rmax_4)**6+(@N40_10_4)*(0.5*@rmax_4)**8</v>
      </c>
    </row>
    <row r="232" spans="1:1" x14ac:dyDescent="0.25">
      <c r="A232" s="4" t="str">
        <f>"@r6_"&amp;E36&amp;" == @N0_10_"&amp;E36&amp;"+@N01_10_"&amp;E36&amp;"*@H_"&amp;E36&amp;"+(@N10_10_"&amp;E36&amp;")*(0.6*@rmax_"&amp;E36&amp;")**2+(@N20_10_"&amp;E36&amp;")*(0.6*@rmax_"&amp;E36&amp;")**4+(@N30_10_"&amp;E36&amp;")*(0.6*@rmax_"&amp;E36&amp;")**6+(@N40_10_"&amp;E36&amp;")*(0.6*@rmax_"&amp;E36&amp;")**8"</f>
        <v>@r6_4 == @N0_10_4+@N01_10_4*@H_4+(@N10_10_4)*(0.6*@rmax_4)**2+(@N20_10_4)*(0.6*@rmax_4)**4+(@N30_10_4)*(0.6*@rmax_4)**6+(@N40_10_4)*(0.6*@rmax_4)**8</v>
      </c>
    </row>
    <row r="233" spans="1:1" x14ac:dyDescent="0.25">
      <c r="A233" s="4" t="str">
        <f>"@r7_"&amp;E36&amp;" == @N0_10_"&amp;E36&amp;"+@N01_10_"&amp;E36&amp;"*@H_"&amp;E36&amp;"+(@N10_10_"&amp;E36&amp;")*(0.7*@rmax_"&amp;E36&amp;")**2+(@N20_10_"&amp;E36&amp;")*(0.7*@rmax_"&amp;E36&amp;")**4+(@N30_10_"&amp;E36&amp;")*(0.7*@rmax_"&amp;E36&amp;")**6+(@N40_10_"&amp;E36&amp;")*(0.7*@rmax_"&amp;E36&amp;")**8"</f>
        <v>@r7_4 == @N0_10_4+@N01_10_4*@H_4+(@N10_10_4)*(0.7*@rmax_4)**2+(@N20_10_4)*(0.7*@rmax_4)**4+(@N30_10_4)*(0.7*@rmax_4)**6+(@N40_10_4)*(0.7*@rmax_4)**8</v>
      </c>
    </row>
    <row r="234" spans="1:1" x14ac:dyDescent="0.25">
      <c r="A234" s="4" t="str">
        <f>"@r8_"&amp;E36&amp;" == @N0_10_"&amp;E36&amp;"+@N01_10_"&amp;E36&amp;"*@H_"&amp;E36&amp;"+(@N10_10_"&amp;E36&amp;")*(0.8*@rmax_"&amp;E36&amp;")**2+(@N20_10_"&amp;E36&amp;")*(0.8*@rmax_"&amp;E36&amp;")**4+(@N30_10_"&amp;E36&amp;")*(0.8*@rmax_"&amp;E36&amp;")**6+(@N40_10_"&amp;E36&amp;")*(0.8*@rmax_"&amp;E36&amp;")**8"</f>
        <v>@r8_4 == @N0_10_4+@N01_10_4*@H_4+(@N10_10_4)*(0.8*@rmax_4)**2+(@N20_10_4)*(0.8*@rmax_4)**4+(@N30_10_4)*(0.8*@rmax_4)**6+(@N40_10_4)*(0.8*@rmax_4)**8</v>
      </c>
    </row>
    <row r="235" spans="1:1" x14ac:dyDescent="0.25">
      <c r="A235" s="4" t="str">
        <f>"@r9_"&amp;E36&amp;" == @N0_10_"&amp;E36&amp;"+@N01_10_"&amp;E36&amp;"*@H_"&amp;E36&amp;"+(@N10_10_"&amp;E36&amp;")*(0.9*@rmax_"&amp;E36&amp;")**2+(@N20_10_"&amp;E36&amp;")*(0.9*@rmax_"&amp;E36&amp;")**4+(@N30_10_"&amp;E36&amp;")*(0.9*@rmax_"&amp;E36&amp;")**6+(@N40_10_"&amp;E36&amp;")*(0.9*@rmax_"&amp;E36&amp;")**8"</f>
        <v>@r9_4 == @N0_10_4+@N01_10_4*@H_4+(@N10_10_4)*(0.9*@rmax_4)**2+(@N20_10_4)*(0.9*@rmax_4)**4+(@N30_10_4)*(0.9*@rmax_4)**6+(@N40_10_4)*(0.9*@rmax_4)**8</v>
      </c>
    </row>
    <row r="236" spans="1:1" x14ac:dyDescent="0.25">
      <c r="A236" s="4" t="str">
        <f>"@r10_"&amp;E36&amp;" == @N0_10_"&amp;E36&amp;"+@N01_10_"&amp;E36&amp;"*@H_"&amp;E36&amp;"+(@N10_10_"&amp;E36&amp;")*(1*@rmax_"&amp;E36&amp;")**2+(@N20_10_"&amp;E36&amp;")*(1*@rmax_"&amp;E36&amp;")**4+(@N30_10_"&amp;E36&amp;")*(1*@rmax_"&amp;E36&amp;")**6+(@N40_10_"&amp;E36&amp;")*(1*@rmax_"&amp;E36&amp;")**8"</f>
        <v>@r10_4 == @N0_10_4+@N01_10_4*@H_4+(@N10_10_4)*(1*@rmax_4)**2+(@N20_10_4)*(1*@rmax_4)**4+(@N30_10_4)*(1*@rmax_4)**6+(@N40_10_4)*(1*@rmax_4)**8</v>
      </c>
    </row>
    <row r="238" spans="1:1" x14ac:dyDescent="0.25">
      <c r="A238" s="4" t="str">
        <f>"@nmaxr_"&amp;E36&amp;" == MAXF(@r0_"&amp;E36&amp;",MAXF(@r1_"&amp;E36&amp;",MAXF(@r2_"&amp;E36&amp;",MAXF(@r3_"&amp;E36&amp;",MAXF(@r4_"&amp;E36&amp;",MAXF(@r5_"&amp;E36&amp;",MAXF(@r6_"&amp;E36&amp;",MAXF(@r7_"&amp;E36&amp;",MAXF(@r8_"&amp;E36&amp;",MAXF(@r9_"&amp;E36&amp;",@r10_"&amp;E36&amp;"))))))))))"</f>
        <v>@nmaxr_4 == MAXF(@r0_4,MAXF(@r1_4,MAXF(@r2_4,MAXF(@r3_4,MAXF(@r4_4,MAXF(@r5_4,MAXF(@r6_4,MAXF(@r7_4,MAXF(@r8_4,MAXF(@r9_4,@r10_4))))))))))</v>
      </c>
    </row>
    <row r="239" spans="1:1" x14ac:dyDescent="0.25">
      <c r="A239" s="4" t="str">
        <f>"@nminr_"&amp;E36&amp;" == MINF(@r0_"&amp;E36&amp;",MINF(@r1_"&amp;E36&amp;",MINF(@r2_"&amp;E36&amp;",MINF(@r3_"&amp;E36&amp;",MINF(@r4_"&amp;E36&amp;",MINF(@r5_"&amp;E36&amp;",MINF(@r6_"&amp;E36&amp;",MINF(@r7_"&amp;E36&amp;",MINF(@r8_"&amp;E36&amp;",MINF(@r9_"&amp;E36&amp;",@r10_"&amp;E36&amp;"))))))))))"</f>
        <v>@nminr_4 == MINF(@r0_4,MINF(@r1_4,MINF(@r2_4,MINF(@r3_4,MINF(@r4_4,MINF(@r5_4,MINF(@r6_4,MINF(@r7_4,MINF(@r8_4,MINF(@r9_4,@r10_4))))))))))</v>
      </c>
    </row>
    <row r="241" spans="1:1" x14ac:dyDescent="0.25">
      <c r="A241" s="55" t="str">
        <f>"! Constrain axial line scan indices"</f>
        <v>! Constrain axial line scan indices</v>
      </c>
    </row>
    <row r="242" spans="1:1" x14ac:dyDescent="0.25">
      <c r="A242" s="4" t="str">
        <f>"@t0_"&amp;E36&amp;" == @N0_10_"&amp;E36&amp;"+@N01_10_"&amp;E36&amp;"*(0*@Tmax_"&amp;E36&amp;")"</f>
        <v>@t0_4 == @N0_10_4+@N01_10_4*(0*@Tmax_4)</v>
      </c>
    </row>
    <row r="243" spans="1:1" x14ac:dyDescent="0.25">
      <c r="A243" s="4" t="str">
        <f>"@t1_"&amp;E36&amp;" == @N0_10_"&amp;E36&amp;"+@N01_10_"&amp;E36&amp;"*(0.1*@Tmax_"&amp;E36&amp;")"</f>
        <v>@t1_4 == @N0_10_4+@N01_10_4*(0.1*@Tmax_4)</v>
      </c>
    </row>
    <row r="244" spans="1:1" x14ac:dyDescent="0.25">
      <c r="A244" s="4" t="str">
        <f>"@t2_"&amp;E36&amp;" == @N0_10_"&amp;E36&amp;"+@N01_10_"&amp;E36&amp;"*(0.2*@Tmax_"&amp;E36&amp;")"</f>
        <v>@t2_4 == @N0_10_4+@N01_10_4*(0.2*@Tmax_4)</v>
      </c>
    </row>
    <row r="245" spans="1:1" x14ac:dyDescent="0.25">
      <c r="A245" s="4" t="str">
        <f>"@t3_"&amp;E36&amp;" == @N0_10_"&amp;E36&amp;"+@N01_10_"&amp;E36&amp;"*(0.3*@Tmax_"&amp;E36&amp;")"</f>
        <v>@t3_4 == @N0_10_4+@N01_10_4*(0.3*@Tmax_4)</v>
      </c>
    </row>
    <row r="246" spans="1:1" x14ac:dyDescent="0.25">
      <c r="A246" s="4" t="str">
        <f>"@t4_"&amp;E36&amp;" == @N0_10_"&amp;E36&amp;"+@N01_10_"&amp;E36&amp;"*(0.4*@Tmax_"&amp;E36&amp;")"</f>
        <v>@t4_4 == @N0_10_4+@N01_10_4*(0.4*@Tmax_4)</v>
      </c>
    </row>
    <row r="247" spans="1:1" x14ac:dyDescent="0.25">
      <c r="A247" s="4" t="str">
        <f>"@t5_"&amp;E36&amp;" == @N0_10_"&amp;E36&amp;"+@N01_10_"&amp;E36&amp;"*(0.5*@Tmax_"&amp;E36&amp;")"</f>
        <v>@t5_4 == @N0_10_4+@N01_10_4*(0.5*@Tmax_4)</v>
      </c>
    </row>
    <row r="248" spans="1:1" x14ac:dyDescent="0.25">
      <c r="A248" s="4" t="str">
        <f>"@t6_"&amp;E36&amp;" == @N0_10_"&amp;E36&amp;"+@N01_10_"&amp;E36&amp;"*(0.6*@Tmax_"&amp;E36&amp;")"</f>
        <v>@t6_4 == @N0_10_4+@N01_10_4*(0.6*@Tmax_4)</v>
      </c>
    </row>
    <row r="249" spans="1:1" x14ac:dyDescent="0.25">
      <c r="A249" s="4" t="str">
        <f>"@t7_"&amp;E36&amp;" == @N0_10_"&amp;E36&amp;"+@N01_10_"&amp;E36&amp;"*(0.7*@Tmax_"&amp;E36&amp;")"</f>
        <v>@t7_4 == @N0_10_4+@N01_10_4*(0.7*@Tmax_4)</v>
      </c>
    </row>
    <row r="250" spans="1:1" x14ac:dyDescent="0.25">
      <c r="A250" s="4" t="str">
        <f>"@t8_"&amp;E36&amp;" == @N0_10_"&amp;E36&amp;"+@N01_10_"&amp;E36&amp;"*(0.8*@Tmax_"&amp;E36&amp;")"</f>
        <v>@t8_4 == @N0_10_4+@N01_10_4*(0.8*@Tmax_4)</v>
      </c>
    </row>
    <row r="251" spans="1:1" x14ac:dyDescent="0.25">
      <c r="A251" s="4" t="str">
        <f>"@t9_"&amp;E36&amp;" == @N0_10_"&amp;E36&amp;"+@N01_10_"&amp;E36&amp;"*(0.9*@Tmax_"&amp;E36&amp;")"</f>
        <v>@t9_4 == @N0_10_4+@N01_10_4*(0.9*@Tmax_4)</v>
      </c>
    </row>
    <row r="252" spans="1:1" x14ac:dyDescent="0.25">
      <c r="A252" s="4" t="str">
        <f>"@t10_"&amp;E36&amp;" == @N0_10_"&amp;E36&amp;"+@N01_10_"&amp;E36&amp;"*(1*@Tmax_"&amp;E36&amp;")"</f>
        <v>@t10_4 == @N0_10_4+@N01_10_4*(1*@Tmax_4)</v>
      </c>
    </row>
    <row r="253" spans="1:1" x14ac:dyDescent="0.25">
      <c r="A253" s="4"/>
    </row>
    <row r="254" spans="1:1" x14ac:dyDescent="0.25">
      <c r="A254" s="4" t="str">
        <f>"@nmaxt_"&amp;E36&amp;" == MAXF(@t0_"&amp;E36&amp;",MAXF(@t1_"&amp;E36&amp;",MAXF(@t2_"&amp;E36&amp;",MAXF(@t3_"&amp;E36&amp;",MAXF(@t4_"&amp;E36&amp;",MAXF(@t5_"&amp;E36&amp;",MAXF(@t6_"&amp;E36&amp;",MAXF(@t7_"&amp;E36&amp;",MAXF(@t8_"&amp;E36&amp;",MAXF(@t9_"&amp;E36&amp;",@t10_"&amp;E36&amp;"))))))))))"</f>
        <v>@nmaxt_4 == MAXF(@t0_4,MAXF(@t1_4,MAXF(@t2_4,MAXF(@t3_4,MAXF(@t4_4,MAXF(@t5_4,MAXF(@t6_4,MAXF(@t7_4,MAXF(@t8_4,MAXF(@t9_4,@t10_4))))))))))</v>
      </c>
    </row>
    <row r="255" spans="1:1" x14ac:dyDescent="0.25">
      <c r="A255" s="4" t="str">
        <f>"@nmint_"&amp;E36&amp;" == MINF(@t0_"&amp;E36&amp;",MINF(@t1_"&amp;E36&amp;",MINF(@t2_"&amp;E36&amp;",MINF(@t3_"&amp;E36&amp;",MINF(@t4_"&amp;E36&amp;",MINF(@t5_"&amp;E36&amp;",MINF(@t6_"&amp;E36&amp;",MINF(@t7_"&amp;E36&amp;",MINF(@t8_"&amp;E36&amp;",MINF(@t9_"&amp;E36&amp;",@t10_"&amp;E36&amp;"))))))))))"</f>
        <v>@nmint_4 == MINF(@t0_4,MINF(@t1_4,MINF(@t2_4,MINF(@t3_4,MINF(@t4_4,MINF(@t5_4,MINF(@t6_4,MINF(@t7_4,MINF(@t8_4,MINF(@t9_4,@t10_4))))))))))</v>
      </c>
    </row>
    <row r="256" spans="1:1" x14ac:dyDescent="0.25">
      <c r="A256" s="4"/>
    </row>
    <row r="257" spans="1:1" x14ac:dyDescent="0.25">
      <c r="A257" s="4" t="s">
        <v>66</v>
      </c>
    </row>
    <row r="258" spans="1:1" x14ac:dyDescent="0.25">
      <c r="A258" s="4" t="str">
        <f>"@sag_S1_"&amp;E36&amp;" == SAGF((SLB S'grin"&amp;E36&amp;"'),1,0,(MAP s'grin"&amp;E36&amp;"'))"</f>
        <v>@sag_S1_4 == SAGF((SLB S'grin4'),1,0,(MAP s'grin4'))</v>
      </c>
    </row>
    <row r="259" spans="1:1" x14ac:dyDescent="0.25">
      <c r="A259" s="4" t="str">
        <f>"@EdgeN_S1_"&amp;E36&amp;" == @N0_10_"&amp;E36&amp;"+ @N01_10_"&amp;E36&amp;"*@sag_S1_"&amp;E36&amp;"+(@N10_10_"&amp;E36&amp;")*(MAP s'grin"&amp;E36&amp;"')**2+(@N20_10_"&amp;E36&amp;")*(MAP s'grin"&amp;E36&amp;"')**4+(@N30_10_"&amp;E36&amp;")*(MAP s'grin"&amp;E36&amp;"')**6+(@N40_10_"&amp;E36&amp;")*(MAP s'grin"&amp;E36&amp;"')**8"</f>
        <v>@EdgeN_S1_4 == @N0_10_4+ @N01_10_4*@sag_S1_4+(@N10_10_4)*(MAP s'grin4')**2+(@N20_10_4)*(MAP s'grin4')**4+(@N30_10_4)*(MAP s'grin4')**6+(@N40_10_4)*(MAP s'grin4')**8</v>
      </c>
    </row>
    <row r="261" spans="1:1" x14ac:dyDescent="0.25">
      <c r="A261" s="4" t="s">
        <v>67</v>
      </c>
    </row>
    <row r="262" spans="1:1" x14ac:dyDescent="0.25">
      <c r="A262" s="4" t="str">
        <f>"@sag_S2_"&amp;E36&amp;" == SAGF((SLB s'grin"&amp;E36&amp;"'+1),1,0,(MAP s'grin"&amp;E36&amp;"'+1))"</f>
        <v>@sag_S2_4 == SAGF((SLB s'grin4'+1),1,0,(MAP s'grin4'+1))</v>
      </c>
    </row>
    <row r="263" spans="1:1" x14ac:dyDescent="0.25">
      <c r="A263" s="4" t="str">
        <f>"@EdgeN_S2_"&amp;E36&amp;" == @N0_10_"&amp;E36&amp;"+@N01_10_"&amp;E36&amp;"*(@sag_S2_"&amp;E36&amp;"+(CT s'grin"&amp;E36&amp;"'))+(@N10_10_"&amp;E36&amp;")*(MAP s'grin"&amp;E36&amp;"'+1)**2+(@N20_10_"&amp;E36&amp;")*(MAP s'grin"&amp;E36&amp;"'+1)**4+(@N30_10_"&amp;E36&amp;")*(MAP s'grin"&amp;E36&amp;"'+1)**6+(@N40_10_"&amp;E36&amp;")*(MAP s'grin"&amp;E36&amp;"'+1)**8"</f>
        <v>@EdgeN_S2_4 == @N0_10_4+@N01_10_4*(@sag_S2_4+(CT s'grin4'))+(@N10_10_4)*(MAP s'grin4'+1)**2+(@N20_10_4)*(MAP s'grin4'+1)**4+(@N30_10_4)*(MAP s'grin4'+1)**6+(@N40_10_4)*(MAP s'grin4'+1)**8</v>
      </c>
    </row>
    <row r="265" spans="1:1" x14ac:dyDescent="0.25">
      <c r="A265" s="4" t="str">
        <f>"@nmax_"&amp;E36&amp;" == MAXF(@EdgeN_S2_"&amp;E36&amp;",MAXF(@EdgeN_S1_"&amp;E36&amp;",MAXF((@nmaxr_"&amp;E36&amp;"),(@nmaxt_"&amp;E36&amp;"))))"</f>
        <v>@nmax_4 == MAXF(@EdgeN_S2_4,MAXF(@EdgeN_S1_4,MAXF((@nmaxr_4),(@nmaxt_4))))</v>
      </c>
    </row>
    <row r="266" spans="1:1" x14ac:dyDescent="0.25">
      <c r="A266" s="4" t="str">
        <f>"@nmin_"&amp;E36&amp;" == MINF(@EdgeN_S2_"&amp;E36&amp;",MINF(@EdgeN_S1_"&amp;E36&amp;",MINF((@nminr_"&amp;E36&amp;"),(@nmint_"&amp;E36&amp;"))))"</f>
        <v>@nmin_4 == MINF(@EdgeN_S2_4,MINF(@EdgeN_S1_4,MINF((@nminr_4),(@nmint_4))))</v>
      </c>
    </row>
    <row r="268" spans="1:1" x14ac:dyDescent="0.25">
      <c r="A268" s="4" t="str">
        <f>"@concmin_"&amp;E36&amp;" == ((@nmin_"&amp;E36&amp;")+"&amp;(-D3)&amp;")/"&amp;D2</f>
        <v>@concmin_4 == ((@nmin_4)+-1.48795653837104)/0.0973168789873748</v>
      </c>
    </row>
    <row r="269" spans="1:1" x14ac:dyDescent="0.25">
      <c r="A269" s="4" t="str">
        <f>"@concmax_"&amp;E36&amp;" == ((@nmax_"&amp;E36&amp;")+"&amp;(-D3)&amp;")/"&amp;D2</f>
        <v>@concmax_4 == ((@nmax_4)+-1.48795653837104)/0.0973168789873748</v>
      </c>
    </row>
    <row r="271" spans="1:1" x14ac:dyDescent="0.25">
      <c r="A271" s="4" t="str">
        <f>"! Constrain concentration to be within material bounds"</f>
        <v>! Constrain concentration to be within material bounds</v>
      </c>
    </row>
    <row r="272" spans="1:1" x14ac:dyDescent="0.25">
      <c r="A272" s="4" t="str">
        <f>"@concmin_"&amp;E36&amp;" &gt; "&amp;C32&amp;" &lt; "&amp;C33</f>
        <v>@concmin_4 &gt; 0 &lt; 1</v>
      </c>
    </row>
    <row r="273" spans="1:1" x14ac:dyDescent="0.25">
      <c r="A273" s="4" t="str">
        <f>"@concmax_"&amp;E36&amp;" &gt; "&amp;C32&amp;" &lt; "&amp;C33</f>
        <v>@concmax_4 &gt; 0 &lt; 1</v>
      </c>
    </row>
    <row r="275" spans="1:1" x14ac:dyDescent="0.25">
      <c r="A275" s="4" t="s">
        <v>126</v>
      </c>
    </row>
    <row r="276" spans="1:1" x14ac:dyDescent="0.25">
      <c r="A276" s="4" t="str">
        <f>"@b == "&amp;S17&amp;""</f>
        <v>@b == 0.4930684750824</v>
      </c>
    </row>
    <row r="277" spans="1:1" x14ac:dyDescent="0.25">
      <c r="A277" s="4" t="str">
        <f>"@c == "&amp;S18&amp;""</f>
        <v>@c == 0.202964208639889</v>
      </c>
    </row>
    <row r="278" spans="1:1" x14ac:dyDescent="0.25">
      <c r="A278" s="4" t="str">
        <f>"@d == "&amp;S19&amp;""</f>
        <v>@d == -0.18951712829631</v>
      </c>
    </row>
    <row r="279" spans="1:1" x14ac:dyDescent="0.25">
      <c r="A279" s="4" t="str">
        <f>"@e == "&amp;S20&amp;""</f>
        <v>@e == 0.30446756218619</v>
      </c>
    </row>
    <row r="281" spans="1:1" x14ac:dyDescent="0.25">
      <c r="A281" s="4" t="str">
        <f>"@R == @N01_10_"&amp;E36&amp;"*@b/(@N10_10_"&amp;E36&amp;")"</f>
        <v>@R == @N01_10_4*@b/(@N10_10_4)</v>
      </c>
    </row>
    <row r="282" spans="1:1" x14ac:dyDescent="0.25">
      <c r="A282" s="4" t="str">
        <f>"@dN20_10_"&amp;E36&amp;" == (@N20_10_"&amp;E36&amp;"-(@N01_10_"&amp;E36&amp;"*@c/@R**3))*(@rmax_"&amp;E36&amp;")**4"</f>
        <v>@dN20_10_4 == (@N20_10_4-(@N01_10_4*@c/@R**3))*(@rmax_4)**4</v>
      </c>
    </row>
    <row r="283" spans="1:1" x14ac:dyDescent="0.25">
      <c r="A283" s="4" t="str">
        <f>"@dN30_10_"&amp;E36&amp;" == (@N30_10_"&amp;E36&amp;"-(@N01_10_"&amp;E36&amp;"*@d/@R**5))*(@rmax_"&amp;E36&amp;")**6"</f>
        <v>@dN30_10_4 == (@N30_10_4-(@N01_10_4*@d/@R**5))*(@rmax_4)**6</v>
      </c>
    </row>
    <row r="284" spans="1:1" x14ac:dyDescent="0.25">
      <c r="A284" s="4" t="str">
        <f>"@dN40_10_"&amp;E36&amp;" == (@N40_10_"&amp;E36&amp;"-(@N01_10_"&amp;E36&amp;"*@e/@R**7))*(@rmax_"&amp;E36&amp;")**8"</f>
        <v>@dN40_10_4 == (@N40_10_4-(@N01_10_4*@e/@R**7))*(@rmax_4)**8</v>
      </c>
    </row>
    <row r="286" spans="1:1" x14ac:dyDescent="0.25">
      <c r="A286" s="4" t="str">
        <f>"@dN20_10_"&amp;E36&amp;" = 0"</f>
        <v>@dN20_10_4 = 0</v>
      </c>
    </row>
    <row r="287" spans="1:1" x14ac:dyDescent="0.25">
      <c r="A287" s="4" t="str">
        <f>"@dN30_10_"&amp;E36&amp;" = 0"</f>
        <v>@dN30_10_4 = 0</v>
      </c>
    </row>
    <row r="288" spans="1:1" x14ac:dyDescent="0.25">
      <c r="A288" s="4" t="str">
        <f>"@dN40_10_"&amp;E36&amp;"= 0"</f>
        <v>@dN40_10_4= 0</v>
      </c>
    </row>
    <row r="290" spans="1:1" x14ac:dyDescent="0.25">
      <c r="A290" s="4" t="str">
        <f>"! END CONSTRAINTS FOR SPHERICAL GRADIENT ON ELEMENT grin"&amp;E40</f>
        <v>! END CONSTRAINTS FOR SPHERICAL GRADIENT ON ELEMENT grin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0"/>
  <sheetViews>
    <sheetView workbookViewId="0">
      <selection activeCell="I340" sqref="I340"/>
    </sheetView>
  </sheetViews>
  <sheetFormatPr defaultColWidth="9.140625" defaultRowHeight="15" x14ac:dyDescent="0.25"/>
  <cols>
    <col min="1" max="1" width="21" style="30" customWidth="1"/>
    <col min="2" max="2" width="9.140625" style="30"/>
    <col min="3" max="3" width="16.140625" style="30" customWidth="1"/>
    <col min="4" max="4" width="10.85546875" style="30" customWidth="1"/>
    <col min="5" max="6" width="9.140625" style="30"/>
    <col min="7" max="7" width="10.28515625" style="30" customWidth="1"/>
    <col min="8" max="15" width="9.140625" style="30"/>
    <col min="16" max="16" width="10.5703125" style="30" bestFit="1" customWidth="1"/>
    <col min="17" max="20" width="9.140625" style="30"/>
    <col min="21" max="21" width="10.28515625" style="30" bestFit="1" customWidth="1"/>
    <col min="22" max="16384" width="9.140625" style="30"/>
  </cols>
  <sheetData>
    <row r="1" spans="1:22" ht="15.75" thickBot="1" x14ac:dyDescent="0.3">
      <c r="A1" s="30" t="s">
        <v>28</v>
      </c>
      <c r="C1" s="30" t="s">
        <v>29</v>
      </c>
      <c r="D1" s="36">
        <v>5</v>
      </c>
      <c r="E1" s="37">
        <v>4</v>
      </c>
      <c r="F1" s="37">
        <v>3</v>
      </c>
      <c r="G1" s="37">
        <v>2.5</v>
      </c>
      <c r="H1" s="37">
        <v>2</v>
      </c>
      <c r="I1" s="37">
        <v>1.5</v>
      </c>
      <c r="J1" s="37">
        <v>1</v>
      </c>
      <c r="K1" s="37">
        <v>0.65600000000000003</v>
      </c>
      <c r="L1" s="37">
        <v>0.58699999999999997</v>
      </c>
      <c r="M1" s="38">
        <v>0.48599999999999999</v>
      </c>
    </row>
    <row r="2" spans="1:22" x14ac:dyDescent="0.25">
      <c r="A2" s="30" t="s">
        <v>95</v>
      </c>
      <c r="C2" s="30" t="s">
        <v>78</v>
      </c>
      <c r="D2" s="57">
        <f>IF(D1=0,1,SQRT(1+2.16632017887975*D1^2/(D1^2-0.102333188174171^2)+3.58573982646738*D1^2/(D1^2-15.3793385063747^2))-SQRT(1+2.13152712663324*D1^2/(D1^2-0.102367868249854^2)+3.84007574391409*D1^2/(D1^2-15.9645505397573^2)))</f>
        <v>8.6713906218769399E-3</v>
      </c>
      <c r="E2" s="57">
        <f t="shared" ref="E2:M2" si="0">IF(E1=0,1,SQRT(1+2.16632017887975*E1^2/(E1^2-0.102333188174171^2)+3.58573982646738*E1^2/(E1^2-15.3793385063747^2))-SQRT(1+2.13152712663324*E1^2/(E1^2-0.102367868249854^2)+3.84007574391409*E1^2/(E1^2-15.9645505397573^2)))</f>
        <v>9.3717893674296615E-3</v>
      </c>
      <c r="F2" s="57">
        <f t="shared" si="0"/>
        <v>9.6715345488223026E-3</v>
      </c>
      <c r="G2" s="57">
        <f t="shared" si="0"/>
        <v>9.7431244253918248E-3</v>
      </c>
      <c r="H2" s="57">
        <f t="shared" si="0"/>
        <v>9.7871657377224253E-3</v>
      </c>
      <c r="I2" s="57">
        <f t="shared" si="0"/>
        <v>9.819093159040726E-3</v>
      </c>
      <c r="J2" s="57">
        <f t="shared" si="0"/>
        <v>9.8634213405910387E-3</v>
      </c>
      <c r="K2" s="57">
        <f t="shared" si="0"/>
        <v>9.9519429929009195E-3</v>
      </c>
      <c r="L2" s="57">
        <f t="shared" si="0"/>
        <v>9.9903266996583806E-3</v>
      </c>
      <c r="M2" s="57">
        <f t="shared" si="0"/>
        <v>1.0079579189989696E-2</v>
      </c>
    </row>
    <row r="3" spans="1:22" x14ac:dyDescent="0.25">
      <c r="A3" s="12"/>
      <c r="B3" s="12"/>
      <c r="C3" s="12" t="s">
        <v>76</v>
      </c>
      <c r="D3" s="57">
        <f>IF(D1=0,1,SQRT(1+2.13152712663324*D1^2/(D1^2-0.102367868249854^2)+3.84007574391409*D1^2/(D1^2-15.9645505397573^2)))</f>
        <v>1.6476588529488323</v>
      </c>
      <c r="E3" s="57">
        <f t="shared" ref="E3:M3" si="1">IF(E1=0,1,SQRT(1+2.13152712663324*E1^2/(E1^2-0.102367868249854^2)+3.84007574391409*E1^2/(E1^2-15.9645505397573^2)))</f>
        <v>1.695790260521914</v>
      </c>
      <c r="F3" s="57">
        <f t="shared" si="1"/>
        <v>1.7301575723413489</v>
      </c>
      <c r="G3" s="57">
        <f t="shared" si="1"/>
        <v>1.7431497396249429</v>
      </c>
      <c r="H3" s="57">
        <f t="shared" si="1"/>
        <v>1.7538235537892017</v>
      </c>
      <c r="I3" s="57">
        <f t="shared" si="1"/>
        <v>1.7627530504439888</v>
      </c>
      <c r="J3" s="57">
        <f t="shared" si="1"/>
        <v>1.7717149873205007</v>
      </c>
      <c r="K3" s="57">
        <f t="shared" si="1"/>
        <v>1.7827599242755732</v>
      </c>
      <c r="L3" s="57">
        <f t="shared" si="1"/>
        <v>1.7869489981519775</v>
      </c>
      <c r="M3" s="57">
        <f t="shared" si="1"/>
        <v>1.7963640575375976</v>
      </c>
    </row>
    <row r="5" spans="1:22" x14ac:dyDescent="0.25">
      <c r="A5" s="1" t="s">
        <v>22</v>
      </c>
      <c r="C5" s="15"/>
      <c r="D5" s="30" t="s">
        <v>18</v>
      </c>
    </row>
    <row r="6" spans="1:22" ht="15.75" thickBot="1" x14ac:dyDescent="0.3">
      <c r="C6" s="15" t="s">
        <v>49</v>
      </c>
      <c r="D6" s="12" t="str">
        <f>D1&amp;" um"</f>
        <v>5 um</v>
      </c>
      <c r="E6" s="12" t="str">
        <f t="shared" ref="E6:M6" si="2">E1&amp;" um"</f>
        <v>4 um</v>
      </c>
      <c r="F6" s="12" t="str">
        <f t="shared" si="2"/>
        <v>3 um</v>
      </c>
      <c r="G6" s="12" t="str">
        <f t="shared" si="2"/>
        <v>2.5 um</v>
      </c>
      <c r="H6" s="12" t="str">
        <f t="shared" si="2"/>
        <v>2 um</v>
      </c>
      <c r="I6" s="12" t="str">
        <f t="shared" si="2"/>
        <v>1.5 um</v>
      </c>
      <c r="J6" s="12" t="str">
        <f t="shared" si="2"/>
        <v>1 um</v>
      </c>
      <c r="K6" s="12" t="str">
        <f t="shared" si="2"/>
        <v>0.656 um</v>
      </c>
      <c r="L6" s="12" t="str">
        <f t="shared" si="2"/>
        <v>0.587 um</v>
      </c>
      <c r="M6" s="12" t="str">
        <f t="shared" si="2"/>
        <v>0.486 um</v>
      </c>
      <c r="U6" s="30" t="s">
        <v>56</v>
      </c>
      <c r="V6" s="30" t="s">
        <v>49</v>
      </c>
    </row>
    <row r="7" spans="1:22" ht="15.75" thickBot="1" x14ac:dyDescent="0.3">
      <c r="A7" s="2" t="s">
        <v>24</v>
      </c>
      <c r="C7" s="20">
        <v>0.5</v>
      </c>
      <c r="D7" s="30">
        <f>D$2*$C7+D$3</f>
        <v>1.6519945482597707</v>
      </c>
      <c r="E7" s="30">
        <f>E$2*$C7+E$3</f>
        <v>1.7004761552056289</v>
      </c>
      <c r="F7" s="30">
        <f>F$2*$C7+F$3</f>
        <v>1.7349933396157602</v>
      </c>
      <c r="G7" s="30">
        <f>G$2*$C7+G$3</f>
        <v>1.7480213018376389</v>
      </c>
      <c r="H7" s="30">
        <f>H$2*$C7+H$3</f>
        <v>1.758717136658063</v>
      </c>
      <c r="I7" s="30">
        <f t="shared" ref="I7:M8" si="3">I$2*$C7+I$3</f>
        <v>1.7676625970235091</v>
      </c>
      <c r="J7" s="30">
        <f t="shared" si="3"/>
        <v>1.7766466979907962</v>
      </c>
      <c r="K7" s="30">
        <f t="shared" si="3"/>
        <v>1.7877358957720237</v>
      </c>
      <c r="L7" s="30">
        <f t="shared" si="3"/>
        <v>1.7919441615018066</v>
      </c>
      <c r="M7" s="30">
        <f t="shared" si="3"/>
        <v>1.8014038471325926</v>
      </c>
      <c r="U7" s="30">
        <f>0*$B$14/51</f>
        <v>0</v>
      </c>
      <c r="V7" s="26">
        <f>$P$17+$P$18*U7+$P$19*U7^2</f>
        <v>0.49999999999998718</v>
      </c>
    </row>
    <row r="8" spans="1:22" ht="15.75" customHeight="1" x14ac:dyDescent="0.25">
      <c r="A8" s="2" t="s">
        <v>55</v>
      </c>
      <c r="C8" s="42">
        <f>V58</f>
        <v>0.38467824324771804</v>
      </c>
      <c r="D8" s="30">
        <f>D$2*$C8+D$3</f>
        <v>1.6509945482597708</v>
      </c>
      <c r="E8" s="30">
        <f>E$2*$C8+E$3</f>
        <v>1.6993953839918645</v>
      </c>
      <c r="F8" s="30">
        <f>F$2*$C8+F$3</f>
        <v>1.7338780012610995</v>
      </c>
      <c r="G8" s="30">
        <f t="shared" ref="G8:H8" si="4">G$2*$C8+G$3</f>
        <v>1.7468977076126466</v>
      </c>
      <c r="H8" s="30">
        <f t="shared" si="4"/>
        <v>1.7575884635115631</v>
      </c>
      <c r="I8" s="30">
        <f t="shared" si="3"/>
        <v>1.7665302419506943</v>
      </c>
      <c r="J8" s="30">
        <f t="shared" si="3"/>
        <v>1.7755092309142113</v>
      </c>
      <c r="K8" s="30">
        <f t="shared" si="3"/>
        <v>1.7865882202229837</v>
      </c>
      <c r="L8" s="30">
        <f t="shared" si="3"/>
        <v>1.790792059476273</v>
      </c>
      <c r="M8" s="30">
        <f t="shared" si="3"/>
        <v>1.8002414523530792</v>
      </c>
      <c r="U8" s="30">
        <f>1*ABS($B$14)/51</f>
        <v>1.9607843137254902E-2</v>
      </c>
      <c r="V8" s="26">
        <f t="shared" ref="V8:V19" si="5">$P$17+$P$18*U8+$P$19*U8^2</f>
        <v>0.49773878908327601</v>
      </c>
    </row>
    <row r="9" spans="1:22" x14ac:dyDescent="0.25">
      <c r="A9" s="2" t="s">
        <v>19</v>
      </c>
      <c r="C9" s="18">
        <f>MAX(V7:V76)</f>
        <v>0.49999999999998718</v>
      </c>
      <c r="D9" s="17">
        <f>D2*$C$9+D3</f>
        <v>1.6519945482597707</v>
      </c>
      <c r="E9" s="17">
        <f t="shared" ref="E9:M9" si="6">E2*$C$9+E3</f>
        <v>1.7004761552056287</v>
      </c>
      <c r="F9" s="17">
        <f t="shared" si="6"/>
        <v>1.73499333961576</v>
      </c>
      <c r="G9" s="17">
        <f t="shared" si="6"/>
        <v>1.7480213018376387</v>
      </c>
      <c r="H9" s="17">
        <f t="shared" si="6"/>
        <v>1.7587171366580627</v>
      </c>
      <c r="I9" s="17">
        <f t="shared" si="6"/>
        <v>1.7676625970235089</v>
      </c>
      <c r="J9" s="17">
        <f t="shared" si="6"/>
        <v>1.776646697990796</v>
      </c>
      <c r="K9" s="17">
        <f t="shared" si="6"/>
        <v>1.7877358957720235</v>
      </c>
      <c r="L9" s="17">
        <f t="shared" si="6"/>
        <v>1.7919441615018066</v>
      </c>
      <c r="M9" s="17">
        <f t="shared" si="6"/>
        <v>1.8014038471325924</v>
      </c>
      <c r="U9" s="30">
        <f>2*ABS($B$14)/51</f>
        <v>3.9215686274509803E-2</v>
      </c>
      <c r="V9" s="26">
        <f t="shared" si="5"/>
        <v>0.49547757816656485</v>
      </c>
    </row>
    <row r="10" spans="1:22" x14ac:dyDescent="0.25">
      <c r="A10" s="2" t="s">
        <v>20</v>
      </c>
      <c r="B10" s="5"/>
      <c r="C10" s="13">
        <f>MIN(V7:V76)</f>
        <v>0.38467824324771804</v>
      </c>
      <c r="D10" s="19">
        <f>D2*$C$10+D3</f>
        <v>1.6509945482597708</v>
      </c>
      <c r="E10" s="19">
        <f t="shared" ref="E10:M10" si="7">E2*$C$10+E3</f>
        <v>1.6993953839918645</v>
      </c>
      <c r="F10" s="19">
        <f t="shared" si="7"/>
        <v>1.7338780012610995</v>
      </c>
      <c r="G10" s="19">
        <f t="shared" si="7"/>
        <v>1.7468977076126466</v>
      </c>
      <c r="H10" s="19">
        <f t="shared" si="7"/>
        <v>1.7575884635115631</v>
      </c>
      <c r="I10" s="19">
        <f t="shared" si="7"/>
        <v>1.7665302419506943</v>
      </c>
      <c r="J10" s="19">
        <f t="shared" si="7"/>
        <v>1.7755092309142113</v>
      </c>
      <c r="K10" s="19">
        <f t="shared" si="7"/>
        <v>1.7865882202229837</v>
      </c>
      <c r="L10" s="19">
        <f t="shared" si="7"/>
        <v>1.790792059476273</v>
      </c>
      <c r="M10" s="19">
        <f t="shared" si="7"/>
        <v>1.8002414523530792</v>
      </c>
      <c r="U10" s="30">
        <f>3*ABS($B$14)/51</f>
        <v>5.8823529411764705E-2</v>
      </c>
      <c r="V10" s="26">
        <f t="shared" si="5"/>
        <v>0.49321636724985368</v>
      </c>
    </row>
    <row r="11" spans="1:22" x14ac:dyDescent="0.25">
      <c r="A11" s="2"/>
      <c r="B11" s="5"/>
      <c r="U11" s="30">
        <f>4*ABS($B$14)/51</f>
        <v>7.8431372549019607E-2</v>
      </c>
      <c r="V11" s="26">
        <f t="shared" si="5"/>
        <v>0.49095515633314252</v>
      </c>
    </row>
    <row r="12" spans="1:22" x14ac:dyDescent="0.25">
      <c r="C12" s="16" t="s">
        <v>26</v>
      </c>
      <c r="D12" s="30">
        <f>D9-D10</f>
        <v>9.9999999999988987E-4</v>
      </c>
      <c r="E12" s="30">
        <f t="shared" ref="E12:M12" si="8">E9-E10</f>
        <v>1.0807712137641534E-3</v>
      </c>
      <c r="F12" s="30">
        <f t="shared" si="8"/>
        <v>1.1153383546604889E-3</v>
      </c>
      <c r="G12" s="30">
        <f t="shared" si="8"/>
        <v>1.1235942249920861E-3</v>
      </c>
      <c r="H12" s="30">
        <f t="shared" si="8"/>
        <v>1.1286731464996702E-3</v>
      </c>
      <c r="I12" s="30">
        <f t="shared" si="8"/>
        <v>1.132355072814617E-3</v>
      </c>
      <c r="J12" s="30">
        <f t="shared" si="8"/>
        <v>1.1374670765846862E-3</v>
      </c>
      <c r="K12" s="30">
        <f t="shared" si="8"/>
        <v>1.1476755490398283E-3</v>
      </c>
      <c r="L12" s="30">
        <f t="shared" si="8"/>
        <v>1.152102025533619E-3</v>
      </c>
      <c r="M12" s="30">
        <f t="shared" si="8"/>
        <v>1.1623947795131873E-3</v>
      </c>
      <c r="U12" s="30">
        <f>5*ABS($B$14)/51</f>
        <v>9.8039215686274508E-2</v>
      </c>
      <c r="V12" s="26">
        <f t="shared" si="5"/>
        <v>0.48869394541643141</v>
      </c>
    </row>
    <row r="13" spans="1:22" ht="15.75" thickBot="1" x14ac:dyDescent="0.3">
      <c r="A13" s="2"/>
      <c r="U13" s="30">
        <f>6*ABS($B$14)/51</f>
        <v>0.11764705882352941</v>
      </c>
      <c r="V13" s="26">
        <f t="shared" si="5"/>
        <v>0.48643273449972024</v>
      </c>
    </row>
    <row r="14" spans="1:22" ht="15.75" thickBot="1" x14ac:dyDescent="0.3">
      <c r="A14" s="30" t="s">
        <v>25</v>
      </c>
      <c r="B14" s="21">
        <v>1</v>
      </c>
      <c r="C14" s="30" t="s">
        <v>54</v>
      </c>
      <c r="U14" s="30">
        <f>7*ABS($B$14)/51</f>
        <v>0.13725490196078433</v>
      </c>
      <c r="V14" s="26">
        <f t="shared" si="5"/>
        <v>0.48417152358300908</v>
      </c>
    </row>
    <row r="15" spans="1:22" x14ac:dyDescent="0.25">
      <c r="B15" s="5"/>
      <c r="U15" s="30">
        <f>8*ABS($B$14)/51</f>
        <v>0.15686274509803921</v>
      </c>
      <c r="V15" s="26">
        <f t="shared" si="5"/>
        <v>0.48191031266629791</v>
      </c>
    </row>
    <row r="16" spans="1:22" ht="30.75" customHeight="1" thickBot="1" x14ac:dyDescent="0.3">
      <c r="C16" s="8" t="s">
        <v>16</v>
      </c>
      <c r="O16" s="30" t="s">
        <v>43</v>
      </c>
      <c r="U16" s="30">
        <f>9*ABS($B$14)/51</f>
        <v>0.17647058823529413</v>
      </c>
      <c r="V16" s="26">
        <f t="shared" si="5"/>
        <v>0.47964910174958675</v>
      </c>
    </row>
    <row r="17" spans="1:22" ht="15.75" thickBot="1" x14ac:dyDescent="0.3">
      <c r="A17" s="30" t="s">
        <v>0</v>
      </c>
      <c r="C17" s="20" t="s">
        <v>15</v>
      </c>
      <c r="D17" s="30">
        <f t="shared" ref="D17:M17" si="9">D$2*$C$7+D$3</f>
        <v>1.6519945482597707</v>
      </c>
      <c r="E17" s="30">
        <f t="shared" si="9"/>
        <v>1.7004761552056289</v>
      </c>
      <c r="F17" s="30">
        <f t="shared" si="9"/>
        <v>1.7349933396157602</v>
      </c>
      <c r="G17" s="30">
        <f t="shared" si="9"/>
        <v>1.7480213018376389</v>
      </c>
      <c r="H17" s="30">
        <f t="shared" si="9"/>
        <v>1.758717136658063</v>
      </c>
      <c r="I17" s="30">
        <f t="shared" si="9"/>
        <v>1.7676625970235091</v>
      </c>
      <c r="J17" s="30">
        <f t="shared" si="9"/>
        <v>1.7766466979907962</v>
      </c>
      <c r="K17" s="30">
        <f t="shared" si="9"/>
        <v>1.7877358957720237</v>
      </c>
      <c r="L17" s="30">
        <f t="shared" si="9"/>
        <v>1.7919441615018066</v>
      </c>
      <c r="M17" s="30">
        <f t="shared" si="9"/>
        <v>1.8014038471325926</v>
      </c>
      <c r="O17" s="30" t="s">
        <v>31</v>
      </c>
      <c r="P17" s="26">
        <f>(D17-D3)/D2</f>
        <v>0.49999999999998718</v>
      </c>
      <c r="U17" s="30">
        <f>10*ABS($B$14)/51</f>
        <v>0.19607843137254902</v>
      </c>
      <c r="V17" s="26">
        <f t="shared" si="5"/>
        <v>0.47738789083287558</v>
      </c>
    </row>
    <row r="18" spans="1:22" ht="15.75" thickBot="1" x14ac:dyDescent="0.3">
      <c r="A18" s="30" t="s">
        <v>1</v>
      </c>
      <c r="C18" s="20" t="s">
        <v>15</v>
      </c>
      <c r="D18" s="44">
        <v>-1E-3</v>
      </c>
      <c r="E18" s="30">
        <f>E2*D18/D2</f>
        <v>-1.0807712137642254E-3</v>
      </c>
      <c r="F18" s="41">
        <f>F2*D18/D2</f>
        <v>-1.1153383546604523E-3</v>
      </c>
      <c r="G18" s="30">
        <f>G2*D18/D2</f>
        <v>-1.1235942249921279E-3</v>
      </c>
      <c r="H18" s="30">
        <f>H2*D18/D2</f>
        <v>-1.128673146499768E-3</v>
      </c>
      <c r="I18" s="30">
        <f>I2*D18/D2</f>
        <v>-1.1323550728147645E-3</v>
      </c>
      <c r="J18" s="30">
        <f>J2*D18/D2</f>
        <v>-1.1374670765847798E-3</v>
      </c>
      <c r="K18" s="30">
        <f>K2*D18/D2</f>
        <v>-1.1476755490397689E-3</v>
      </c>
      <c r="L18" s="30">
        <f>L2*D18/D2</f>
        <v>-1.1521020255337031E-3</v>
      </c>
      <c r="M18" s="30">
        <f>M2*D18/D2</f>
        <v>-1.1623947795132254E-3</v>
      </c>
      <c r="O18" s="30" t="s">
        <v>32</v>
      </c>
      <c r="P18" s="26">
        <f>D18/D2</f>
        <v>-0.11532175675226911</v>
      </c>
      <c r="U18" s="30">
        <f>11*ABS($B$14)/51</f>
        <v>0.21568627450980393</v>
      </c>
      <c r="V18" s="26">
        <f t="shared" si="5"/>
        <v>0.47512667991616442</v>
      </c>
    </row>
    <row r="19" spans="1:22" ht="15.75" thickBot="1" x14ac:dyDescent="0.3">
      <c r="A19" s="30" t="s">
        <v>23</v>
      </c>
      <c r="C19" s="20" t="s">
        <v>15</v>
      </c>
      <c r="D19" s="22">
        <v>0</v>
      </c>
      <c r="E19" s="30">
        <f>E2*D19/D2</f>
        <v>0</v>
      </c>
      <c r="F19" s="41">
        <f>F2*D19/D2</f>
        <v>0</v>
      </c>
      <c r="G19" s="30">
        <f>G2*D19/D2</f>
        <v>0</v>
      </c>
      <c r="H19" s="30">
        <f>H2*D19/D2</f>
        <v>0</v>
      </c>
      <c r="I19" s="30">
        <f>I2*D19/D2</f>
        <v>0</v>
      </c>
      <c r="J19" s="30">
        <f>J2*D19/D2</f>
        <v>0</v>
      </c>
      <c r="K19" s="30">
        <f>K2*D19/D2</f>
        <v>0</v>
      </c>
      <c r="L19" s="30">
        <f>L2*D19/D2</f>
        <v>0</v>
      </c>
      <c r="M19" s="30">
        <f>M2*D19/D2</f>
        <v>0</v>
      </c>
      <c r="O19" s="30" t="s">
        <v>33</v>
      </c>
      <c r="P19" s="26">
        <f>D19/D2</f>
        <v>0</v>
      </c>
      <c r="U19" s="30">
        <f>12*ABS($B$14)/51</f>
        <v>0.23529411764705882</v>
      </c>
      <c r="V19" s="26">
        <f t="shared" si="5"/>
        <v>0.47286546899945325</v>
      </c>
    </row>
    <row r="20" spans="1:22" x14ac:dyDescent="0.25">
      <c r="C20" s="39"/>
      <c r="D20" s="41"/>
      <c r="F20" s="41"/>
      <c r="P20" s="26"/>
      <c r="U20" s="30">
        <f>13*ABS($B$14)/51</f>
        <v>0.25490196078431371</v>
      </c>
      <c r="V20" s="26">
        <f t="shared" ref="V20:V58" si="10">$P$17+$P$18*U20+$P$19*U20^2</f>
        <v>0.47060425808274209</v>
      </c>
    </row>
    <row r="21" spans="1:22" x14ac:dyDescent="0.25">
      <c r="A21" s="30" t="s">
        <v>57</v>
      </c>
      <c r="B21" s="30" t="str">
        <f>"Based on "&amp;F1&amp;", "&amp;E1&amp;", "&amp;D1&amp; " um"</f>
        <v>Based on 3, 4, 5 um</v>
      </c>
      <c r="C21" s="39"/>
      <c r="E21" s="30" t="str">
        <f>IF(H1=0,"","Based on "&amp;H1&amp;", "&amp;F1&amp;", "&amp;D1&amp; " um")</f>
        <v>Based on 2, 3, 5 um</v>
      </c>
      <c r="H21" s="30" t="str">
        <f>IF(M1=0,"","Based on "&amp;M1&amp;", "&amp;K1&amp;", "&amp;I1&amp; " um")</f>
        <v>Based on 0.486, 0.656, 1.5 um</v>
      </c>
      <c r="P21" s="26"/>
      <c r="U21" s="30">
        <f>14*ABS($B$14)/51</f>
        <v>0.27450980392156865</v>
      </c>
      <c r="V21" s="26">
        <f t="shared" si="10"/>
        <v>0.46834304716603092</v>
      </c>
    </row>
    <row r="22" spans="1:22" x14ac:dyDescent="0.25">
      <c r="A22" s="30" t="s">
        <v>50</v>
      </c>
      <c r="B22" s="30">
        <f>(E17-1)/(F17-D17)</f>
        <v>8.4395946466403533</v>
      </c>
      <c r="C22" s="39"/>
      <c r="E22" s="30">
        <f>IF(H1=0,"N/A",(F17-1)/(H17-D17))</f>
        <v>6.886951962528685</v>
      </c>
      <c r="H22" s="30">
        <f>IF(M1=0,"N/A",(K17-1)/(M17-I17))</f>
        <v>23.346375526257034</v>
      </c>
      <c r="P22" s="26"/>
      <c r="U22" s="30">
        <f>15*ABS($B$14)/51</f>
        <v>0.29411764705882354</v>
      </c>
      <c r="V22" s="26">
        <f t="shared" si="10"/>
        <v>0.46608183624931981</v>
      </c>
    </row>
    <row r="23" spans="1:22" x14ac:dyDescent="0.25">
      <c r="A23" s="30" t="s">
        <v>58</v>
      </c>
      <c r="B23" s="26">
        <f>IF(D18=0,"N/A",E18/(F18-D18))</f>
        <v>9.3704407085217873</v>
      </c>
      <c r="C23" s="39"/>
      <c r="E23" s="26">
        <f>IF(OR(D18=0,H1=0),"N/A",F18/(H18-D18))</f>
        <v>8.6679962758388243</v>
      </c>
      <c r="H23" s="26">
        <f>IF(OR(D18=0,M1=0),"N/A",K18/(M18-I18))</f>
        <v>38.205284777250107</v>
      </c>
      <c r="P23" s="26"/>
      <c r="U23" s="30">
        <f>16*ABS($B$14)/51</f>
        <v>0.31372549019607843</v>
      </c>
      <c r="V23" s="26">
        <f t="shared" si="10"/>
        <v>0.46382062533260865</v>
      </c>
    </row>
    <row r="24" spans="1:22" ht="15.75" thickBot="1" x14ac:dyDescent="0.3">
      <c r="C24" s="17"/>
      <c r="P24" s="31"/>
      <c r="U24" s="30">
        <f>17*ABS($B$14)/51</f>
        <v>0.33333333333333331</v>
      </c>
      <c r="V24" s="26">
        <f t="shared" si="10"/>
        <v>0.46155941441589748</v>
      </c>
    </row>
    <row r="25" spans="1:22" ht="30.75" thickBot="1" x14ac:dyDescent="0.3">
      <c r="A25" s="2" t="s">
        <v>52</v>
      </c>
      <c r="C25" s="43">
        <v>0</v>
      </c>
      <c r="D25" s="30" t="s">
        <v>46</v>
      </c>
      <c r="U25" s="30">
        <f>18*ABS($B$14)/51</f>
        <v>0.35294117647058826</v>
      </c>
      <c r="V25" s="26">
        <f t="shared" si="10"/>
        <v>0.45929820349918632</v>
      </c>
    </row>
    <row r="26" spans="1:22" ht="30.75" thickBot="1" x14ac:dyDescent="0.3">
      <c r="A26" s="2" t="s">
        <v>53</v>
      </c>
      <c r="C26" s="43">
        <v>1</v>
      </c>
      <c r="D26" s="30" t="s">
        <v>47</v>
      </c>
      <c r="U26" s="30">
        <f>19*ABS($B$14)/51</f>
        <v>0.37254901960784315</v>
      </c>
      <c r="V26" s="26">
        <f t="shared" si="10"/>
        <v>0.45703699258247515</v>
      </c>
    </row>
    <row r="27" spans="1:22" ht="15.75" thickBot="1" x14ac:dyDescent="0.3">
      <c r="C27" s="27"/>
      <c r="U27" s="30">
        <f>20*ABS($B$14)/51</f>
        <v>0.39215686274509803</v>
      </c>
      <c r="V27" s="26">
        <f t="shared" si="10"/>
        <v>0.45477578166576399</v>
      </c>
    </row>
    <row r="28" spans="1:22" ht="15.75" thickBot="1" x14ac:dyDescent="0.3">
      <c r="D28" s="30" t="s">
        <v>97</v>
      </c>
      <c r="E28" s="21">
        <v>1</v>
      </c>
      <c r="G28" s="30" t="s">
        <v>3</v>
      </c>
      <c r="H28" s="21">
        <v>0.1</v>
      </c>
      <c r="U28" s="30">
        <f>21*ABS($B$14)/51</f>
        <v>0.41176470588235292</v>
      </c>
      <c r="V28" s="26">
        <f t="shared" si="10"/>
        <v>0.45251457074905282</v>
      </c>
    </row>
    <row r="29" spans="1:22" x14ac:dyDescent="0.25">
      <c r="A29" s="1" t="s">
        <v>2</v>
      </c>
      <c r="D29" s="41" t="s">
        <v>98</v>
      </c>
      <c r="U29" s="30">
        <f>22*ABS($B$14)/51</f>
        <v>0.43137254901960786</v>
      </c>
      <c r="V29" s="26">
        <f t="shared" si="10"/>
        <v>0.45025335983234166</v>
      </c>
    </row>
    <row r="30" spans="1:22" x14ac:dyDescent="0.25">
      <c r="A30" s="30" t="str">
        <f>"PRV; PWL "&amp;D1*1000&amp;" "&amp;E1*1000&amp;" "&amp;F1*1000&amp;IF(G1=0,""," "&amp;G1*1000)&amp;IF(H1=0,""," "&amp;H1*1000)&amp;IF(I1=0,""," "&amp;I1*1000)&amp;IF(J1=0,""," "&amp;J1*1000)&amp;IF(K1=0,""," "&amp;K1*1000)&amp;IF(L1=0,""," "&amp;L1*1000)&amp;IF(M1=0,""," "&amp;M1*1000)&amp;" ; 'grin"&amp;E28&amp;"' "&amp;D17&amp;" "&amp;E17&amp;" "&amp;F17&amp;IF(G1=0,""," "&amp;G17)&amp;IF(H1=0,""," "&amp;H17)&amp;IF(I1=0,""," "&amp;I17)&amp;IF(J1=0,""," "&amp;J17)&amp;IF(K1=0,""," "&amp;K17)&amp;IF(L1=0,""," "&amp;L17)&amp;IF(M1=0,""," "&amp;M17)&amp;"; URN "&amp;H28&amp;"; URN C01 "&amp;D18&amp;" "&amp;E18&amp;" "&amp;F18&amp;IF(G1=0,""," "&amp;G18)&amp;IF(H1=0,""," "&amp;H18)&amp;IF(I1=0,""," "&amp;I18)&amp;IF(J1=0,""," "&amp;J18)&amp;IF(K1=0,""," "&amp;K18)&amp;IF(L1=0,""," "&amp;L18)&amp;IF(M1=0,""," "&amp;M18)&amp;"; URN C02 "&amp;D19&amp;" "&amp;E19&amp;" "&amp;F19&amp;IF(G1=0,""," "&amp;G19)&amp;IF(H1=0,""," "&amp;H19)&amp;IF(I1=0,""," "&amp;I19)&amp;IF(J1=0,""," "&amp;J19)&amp;IF(K1=0,""," "&amp;K19)&amp;IF(L1=0,""," "&amp;L19)&amp;IF(M1=0,""," "&amp;M19)&amp;"; END;"</f>
        <v>PRV; PWL 5000 4000 3000 2500 2000 1500 1000 656 587 486 ; 'grin1' 1.65199454825977 1.70047615520563 1.73499333961576 1.74802130183764 1.75871713665806 1.76766259702351 1.7766466979908 1.78773589577202 1.79194416150181 1.80140384713259; URN 0.1; URN C01 -0.001 -0.00108077121376423 -0.00111533835466045 -0.00112359422499213 -0.00112867314649977 -0.00113235507281476 -0.00113746707658478 -0.00114767554903977 -0.0011521020255337 -0.00116239477951323; URN C02 0 0 0 0 0 0 0 0 0 0; END;</v>
      </c>
      <c r="U30" s="30">
        <f>23*ABS($B$14)/51</f>
        <v>0.45098039215686275</v>
      </c>
      <c r="V30" s="26">
        <f t="shared" si="10"/>
        <v>0.44799214891563055</v>
      </c>
    </row>
    <row r="31" spans="1:22" ht="15.75" thickBot="1" x14ac:dyDescent="0.3">
      <c r="U31" s="30">
        <f>24*ABS($B$14)/51</f>
        <v>0.47058823529411764</v>
      </c>
      <c r="V31" s="26">
        <f t="shared" si="10"/>
        <v>0.44573093799891939</v>
      </c>
    </row>
    <row r="32" spans="1:22" ht="15.75" thickBot="1" x14ac:dyDescent="0.3">
      <c r="A32" s="1" t="s">
        <v>4</v>
      </c>
      <c r="F32" s="5"/>
      <c r="G32" s="30" t="s">
        <v>3</v>
      </c>
      <c r="H32" s="21">
        <v>0.1</v>
      </c>
      <c r="U32" s="30">
        <f>25*ABS($B$14)/51</f>
        <v>0.49019607843137253</v>
      </c>
      <c r="V32" s="26">
        <f t="shared" si="10"/>
        <v>0.44346972708220822</v>
      </c>
    </row>
    <row r="33" spans="1:22" x14ac:dyDescent="0.25">
      <c r="A33" s="1" t="s">
        <v>12</v>
      </c>
      <c r="F33" s="5"/>
      <c r="I33" s="5"/>
      <c r="U33" s="30">
        <f>26*ABS($B$14)/51</f>
        <v>0.50980392156862742</v>
      </c>
      <c r="V33" s="26">
        <f t="shared" si="10"/>
        <v>0.44120851616549706</v>
      </c>
    </row>
    <row r="34" spans="1:22" x14ac:dyDescent="0.25">
      <c r="A34" s="30" t="str">
        <f>IF(B14&gt;0,"PRV; PWL "&amp;D1*1000&amp;" "&amp;E1*1000&amp;" "&amp;F1*1000&amp;IF(G1=0,""," "&amp;G1*1000)&amp;IF(H1=0,""," "&amp;H1*1000)&amp;IF(I1=0,""," "&amp;I1*1000)&amp;IF(J1=0,""," "&amp;J1*1000)&amp;IF(K1=0,""," "&amp;K1*1000)&amp;IF(L1=0,""," "&amp;L1*1000)&amp;IF(M1=0,""," "&amp;M1*1000)&amp;" ; 'homo"&amp;E28&amp;"' "&amp;D8&amp;" "&amp;E8&amp;" "&amp;F8&amp;IF(G1=0,""," "&amp;G8)&amp;IF(H1=0,""," "&amp;H8)&amp;IF(I1=0,""," "&amp;I8)&amp;IF(J1=0,""," "&amp;J8)&amp;IF(K1=0,""," "&amp;K8)&amp;IF(L1=0,""," "&amp;L8)&amp;IF(M1=0,""," "&amp;M8)&amp;"; URN "&amp;H28&amp;"; END;","               MAKE GRADIENT DEPTH POSITIVE")</f>
        <v>PRV; PWL 5000 4000 3000 2500 2000 1500 1000 656 587 486 ; 'homo1' 1.65099454825977 1.69939538399186 1.7338780012611 1.74689770761265 1.75758846351156 1.76653024195069 1.77550923091421 1.78658822022298 1.79079205947627 1.80024145235308; URN 0.1; END;</v>
      </c>
      <c r="U34" s="30">
        <f>27*ABS($B$14)/51</f>
        <v>0.52941176470588236</v>
      </c>
      <c r="V34" s="26">
        <f t="shared" si="10"/>
        <v>0.43894730524878589</v>
      </c>
    </row>
    <row r="35" spans="1:22" x14ac:dyDescent="0.25">
      <c r="A35" s="1" t="s">
        <v>13</v>
      </c>
      <c r="U35" s="30">
        <f>28*ABS($B$14)/51</f>
        <v>0.5490196078431373</v>
      </c>
      <c r="V35" s="26">
        <f t="shared" si="10"/>
        <v>0.43668609433207473</v>
      </c>
    </row>
    <row r="36" spans="1:22" x14ac:dyDescent="0.25">
      <c r="A36" s="30" t="str">
        <f>IF(B14 &lt;0,"PRV; PWL "&amp;D1*1000&amp;" "&amp;E1*1000&amp;" "&amp;F1*1000&amp;IF(G1=0,""," "&amp;G1*1000)&amp;IF(H1=0,""," "&amp;H1*1000)&amp;IF(I1=0,""," "&amp;I1*1000)&amp;IF(J1=0,""," "&amp;J1*1000)&amp;IF(K1=0,""," "&amp;K1*1000)&amp;IF(L1=0,""," "&amp;L1*1000)&amp;IF(M1=0,""," "&amp;M1*1000)&amp;" ; 'homo"&amp;E28&amp;"' "&amp;D7&amp;" "&amp;E7&amp;" "&amp;F7&amp;IF(G1=0,""," "&amp;G7)&amp;IF(H1=0,""," "&amp;H7)&amp;IF(I1=0,""," "&amp;I7)&amp;IF(J1=0,""," "&amp;J7)&amp;IF(K1=0,""," "&amp;K7)&amp;IF(L1=0,""," "&amp;L7)&amp;IF(M1=0,""," "&amp;M7)&amp;"; URN "&amp;H28&amp;"; END;","               MAKE GRADIENT DEPTH NEGATIVE")</f>
        <v xml:space="preserve">               MAKE GRADIENT DEPTH NEGATIVE</v>
      </c>
      <c r="U36" s="30">
        <f>29*ABS($B$14)/51</f>
        <v>0.56862745098039214</v>
      </c>
      <c r="V36" s="26">
        <f t="shared" si="10"/>
        <v>0.43442488341536356</v>
      </c>
    </row>
    <row r="37" spans="1:22" x14ac:dyDescent="0.25">
      <c r="U37" s="30">
        <f>30*ABS($B$14)/51</f>
        <v>0.58823529411764708</v>
      </c>
      <c r="V37" s="26">
        <f t="shared" si="10"/>
        <v>0.4321636724986524</v>
      </c>
    </row>
    <row r="38" spans="1:22" x14ac:dyDescent="0.25">
      <c r="A38" s="1" t="s">
        <v>5</v>
      </c>
      <c r="U38" s="30">
        <f>31*ABS($B$14)/51</f>
        <v>0.60784313725490191</v>
      </c>
      <c r="V38" s="26">
        <f t="shared" si="10"/>
        <v>0.42990246158194123</v>
      </c>
    </row>
    <row r="39" spans="1:22" x14ac:dyDescent="0.25">
      <c r="A39" s="30" t="str">
        <f>"GRC C0 'grin"&amp;E28&amp;"' "&amp;IF(C17="yes",0,100)&amp;"; GRC C01 'grin"&amp;E28&amp;"' "&amp;IF(C18="yes",0,100)&amp;"; GRC C02 'grin"&amp;E28&amp;"' "&amp;IF(C19="yes",0,100)&amp;";"</f>
        <v>GRC C0 'grin1' 0; GRC C01 'grin1' 0; GRC C02 'grin1' 0;</v>
      </c>
      <c r="U39" s="30">
        <f>32*ABS($B$14)/51</f>
        <v>0.62745098039215685</v>
      </c>
      <c r="V39" s="26">
        <f t="shared" si="10"/>
        <v>0.42764125066523007</v>
      </c>
    </row>
    <row r="40" spans="1:22" x14ac:dyDescent="0.25">
      <c r="U40" s="30">
        <f>33*ABS($B$14)/51</f>
        <v>0.6470588235294118</v>
      </c>
      <c r="V40" s="26">
        <f t="shared" si="10"/>
        <v>0.4253800397485189</v>
      </c>
    </row>
    <row r="41" spans="1:22" x14ac:dyDescent="0.25">
      <c r="A41" s="1" t="s">
        <v>27</v>
      </c>
      <c r="U41" s="30">
        <f>34*ABS($B$14)/51</f>
        <v>0.66666666666666663</v>
      </c>
      <c r="V41" s="26">
        <f t="shared" si="10"/>
        <v>0.42311882883180779</v>
      </c>
    </row>
    <row r="42" spans="1:22" x14ac:dyDescent="0.25">
      <c r="A42" s="30" t="str">
        <f>"GRC C0 'homo"&amp;E28&amp;"' 0;"</f>
        <v>GRC C0 'homo1' 0;</v>
      </c>
      <c r="U42" s="30">
        <f>35*ABS($B$14)/51</f>
        <v>0.68627450980392157</v>
      </c>
      <c r="V42" s="26">
        <f t="shared" si="10"/>
        <v>0.42085761791509663</v>
      </c>
    </row>
    <row r="43" spans="1:22" x14ac:dyDescent="0.25">
      <c r="U43" s="30">
        <f>36*ABS($B$14)/51</f>
        <v>0.70588235294117652</v>
      </c>
      <c r="V43" s="26">
        <f t="shared" si="10"/>
        <v>0.41859640699838546</v>
      </c>
    </row>
    <row r="44" spans="1:22" x14ac:dyDescent="0.25">
      <c r="A44" s="1" t="s">
        <v>11</v>
      </c>
      <c r="U44" s="30">
        <f>37*ABS($B$14)/51</f>
        <v>0.72549019607843135</v>
      </c>
      <c r="V44" s="26">
        <f t="shared" si="10"/>
        <v>0.4163351960816743</v>
      </c>
    </row>
    <row r="45" spans="1:22" x14ac:dyDescent="0.25">
      <c r="A45" s="4" t="str">
        <f>"! CONSTRAINTS FOR OPTIMIZING WITH ALON LINEAR AXIAL GRADIENT ON FRONT SURFACE"</f>
        <v>! CONSTRAINTS FOR OPTIMIZING WITH ALON LINEAR AXIAL GRADIENT ON FRONT SURFACE</v>
      </c>
      <c r="U45" s="30">
        <f>38*ABS($B$14)/51</f>
        <v>0.74509803921568629</v>
      </c>
      <c r="V45" s="26">
        <f t="shared" si="10"/>
        <v>0.41407398516496313</v>
      </c>
    </row>
    <row r="46" spans="1:22" x14ac:dyDescent="0.25">
      <c r="A46" s="4" t="str">
        <f>"! Define gradient coefficients at all wavelengths"</f>
        <v>! Define gradient coefficients at all wavelengths</v>
      </c>
      <c r="U46" s="30">
        <f>39*ABS($B$14)/51</f>
        <v>0.76470588235294112</v>
      </c>
      <c r="V46" s="26">
        <f t="shared" si="10"/>
        <v>0.41181277424825197</v>
      </c>
    </row>
    <row r="47" spans="1:22" x14ac:dyDescent="0.25">
      <c r="A47" s="4" t="str">
        <f>"@N0_10_"&amp;E28&amp;" == (GRN C0 S'grin"&amp;E28&amp;"' W1)"</f>
        <v>@N0_10_1 == (GRN C0 S'grin1' W1)</v>
      </c>
      <c r="U47" s="30">
        <f>40*ABS($B$14)/51</f>
        <v>0.78431372549019607</v>
      </c>
      <c r="V47" s="26">
        <f t="shared" si="10"/>
        <v>0.4095515633315408</v>
      </c>
    </row>
    <row r="48" spans="1:22" x14ac:dyDescent="0.25">
      <c r="A48" s="4" t="str">
        <f>"@N0_9_"&amp;E28&amp;" == (GRN C0 S'grin"&amp;E28&amp;"' W2)"</f>
        <v>@N0_9_1 == (GRN C0 S'grin1' W2)</v>
      </c>
      <c r="U48" s="30">
        <f>41*ABS($B$14)/51</f>
        <v>0.80392156862745101</v>
      </c>
      <c r="V48" s="26">
        <f t="shared" si="10"/>
        <v>0.40729035241482964</v>
      </c>
    </row>
    <row r="49" spans="1:22" x14ac:dyDescent="0.25">
      <c r="A49" s="4" t="str">
        <f>"@N0_8_"&amp;E28&amp;" == (GRN C0 S'grin"&amp;E28&amp;"' W3)"</f>
        <v>@N0_8_1 == (GRN C0 S'grin1' W3)</v>
      </c>
      <c r="U49" s="30">
        <f>42*ABS($B$14)/51</f>
        <v>0.82352941176470584</v>
      </c>
      <c r="V49" s="26">
        <f t="shared" si="10"/>
        <v>0.40502914149811853</v>
      </c>
    </row>
    <row r="50" spans="1:22" x14ac:dyDescent="0.25">
      <c r="A50" s="4" t="str">
        <f>IF(G1=0,"","@N0_7_"&amp;E28&amp;" == (GRN C0 S'grin"&amp;E28&amp;"' W4)")</f>
        <v>@N0_7_1 == (GRN C0 S'grin1' W4)</v>
      </c>
      <c r="U50" s="30">
        <f>43*ABS($B$14)/51</f>
        <v>0.84313725490196079</v>
      </c>
      <c r="V50" s="26">
        <f t="shared" si="10"/>
        <v>0.40276793058140736</v>
      </c>
    </row>
    <row r="51" spans="1:22" x14ac:dyDescent="0.25">
      <c r="A51" s="4" t="str">
        <f>IF(H1=0,"","@N0_6_"&amp;E28&amp;" == (GRN C0 S'grin"&amp;E28&amp;"' W5)")</f>
        <v>@N0_6_1 == (GRN C0 S'grin1' W5)</v>
      </c>
      <c r="U51" s="30">
        <f>44*ABS($B$14)/51</f>
        <v>0.86274509803921573</v>
      </c>
      <c r="V51" s="26">
        <f t="shared" si="10"/>
        <v>0.4005067196646962</v>
      </c>
    </row>
    <row r="52" spans="1:22" x14ac:dyDescent="0.25">
      <c r="A52" s="4" t="str">
        <f>IF(I1=0,"","@N0_5_"&amp;E28&amp;" == (GRN C0 S'grin"&amp;E28&amp;"' W6)")</f>
        <v>@N0_5_1 == (GRN C0 S'grin1' W6)</v>
      </c>
      <c r="U52" s="30">
        <f>45*ABS($B$14)/51</f>
        <v>0.88235294117647056</v>
      </c>
      <c r="V52" s="26">
        <f t="shared" si="10"/>
        <v>0.39824550874798503</v>
      </c>
    </row>
    <row r="53" spans="1:22" x14ac:dyDescent="0.25">
      <c r="A53" s="4" t="str">
        <f>IF(J1=0,"","@N0_4_"&amp;E28&amp;" == (GRN C0 S'grin"&amp;E28&amp;"' W7)")</f>
        <v>@N0_4_1 == (GRN C0 S'grin1' W7)</v>
      </c>
      <c r="U53" s="30">
        <f>46*ABS($B$14)/51</f>
        <v>0.90196078431372551</v>
      </c>
      <c r="V53" s="26">
        <f t="shared" si="10"/>
        <v>0.39598429783127387</v>
      </c>
    </row>
    <row r="54" spans="1:22" x14ac:dyDescent="0.25">
      <c r="A54" s="4" t="str">
        <f>IF(K1=0,"","@N0_3_"&amp;E28&amp;" == (GRN C0 S'grin"&amp;E28&amp;"' W8)")</f>
        <v>@N0_3_1 == (GRN C0 S'grin1' W8)</v>
      </c>
      <c r="U54" s="30">
        <f>47*ABS($B$14)/51</f>
        <v>0.92156862745098034</v>
      </c>
      <c r="V54" s="26">
        <f t="shared" si="10"/>
        <v>0.3937230869145627</v>
      </c>
    </row>
    <row r="55" spans="1:22" x14ac:dyDescent="0.25">
      <c r="A55" s="4" t="str">
        <f>IF(L1=0,"","@N0_2_"&amp;E28&amp;" == (GRN C0 S'grin"&amp;E28&amp;"' W9)")</f>
        <v>@N0_2_1 == (GRN C0 S'grin1' W9)</v>
      </c>
      <c r="U55" s="30">
        <f>48*ABS($B$14)/51</f>
        <v>0.94117647058823528</v>
      </c>
      <c r="V55" s="26">
        <f t="shared" si="10"/>
        <v>0.39146187599785154</v>
      </c>
    </row>
    <row r="56" spans="1:22" x14ac:dyDescent="0.25">
      <c r="A56" s="4" t="str">
        <f>IF(M1=0,"","@N0_1_"&amp;E28&amp;" == (GRN C0 S'grin"&amp;E28&amp;"' W10)")</f>
        <v>@N0_1_1 == (GRN C0 S'grin1' W10)</v>
      </c>
      <c r="U56" s="30">
        <f>49*ABS($B$14)/51</f>
        <v>0.96078431372549022</v>
      </c>
      <c r="V56" s="26">
        <f t="shared" si="10"/>
        <v>0.38920066508114037</v>
      </c>
    </row>
    <row r="57" spans="1:22" x14ac:dyDescent="0.25">
      <c r="A57" s="4" t="str">
        <f>"@N01_10_"&amp;E28&amp;" == (GRN C01 S'grin"&amp;E28&amp;"' W1)"</f>
        <v>@N01_10_1 == (GRN C01 S'grin1' W1)</v>
      </c>
      <c r="U57" s="30">
        <f>50*ABS($B$14)/51</f>
        <v>0.98039215686274506</v>
      </c>
      <c r="V57" s="26">
        <f t="shared" si="10"/>
        <v>0.38693945416442921</v>
      </c>
    </row>
    <row r="58" spans="1:22" x14ac:dyDescent="0.25">
      <c r="A58" s="4" t="str">
        <f>"@N01_9_"&amp;E28&amp;" == (GRN C01 S'grin"&amp;E28&amp;"' W2)"</f>
        <v>@N01_9_1 == (GRN C01 S'grin1' W2)</v>
      </c>
      <c r="U58" s="30">
        <f>51*ABS($B$14)/51</f>
        <v>1</v>
      </c>
      <c r="V58" s="26">
        <f t="shared" si="10"/>
        <v>0.38467824324771804</v>
      </c>
    </row>
    <row r="59" spans="1:22" x14ac:dyDescent="0.25">
      <c r="A59" s="4" t="str">
        <f>"@N01_8_"&amp;E28&amp;" == (GRN C01 S'grin"&amp;E28&amp;"' W3)"</f>
        <v>@N01_8_1 == (GRN C01 S'grin1' W3)</v>
      </c>
    </row>
    <row r="60" spans="1:22" x14ac:dyDescent="0.25">
      <c r="A60" s="4" t="str">
        <f>IF(G1=0,"","@N01_7_"&amp;E28&amp;" == (GRN C01 S'grin"&amp;E28&amp;"' W4)")</f>
        <v>@N01_7_1 == (GRN C01 S'grin1' W4)</v>
      </c>
    </row>
    <row r="61" spans="1:22" x14ac:dyDescent="0.25">
      <c r="A61" s="4" t="str">
        <f>IF(H1=0,"","@N01_6_"&amp;E28&amp;" == (GRN C01 S'grin"&amp;E28&amp;"' W5)")</f>
        <v>@N01_6_1 == (GRN C01 S'grin1' W5)</v>
      </c>
    </row>
    <row r="62" spans="1:22" x14ac:dyDescent="0.25">
      <c r="A62" s="4" t="str">
        <f>IF(I1=0,"","@N01_5_"&amp;E28&amp;" == (GRN C01 S'grin"&amp;E28&amp;"' W6)")</f>
        <v>@N01_5_1 == (GRN C01 S'grin1' W6)</v>
      </c>
    </row>
    <row r="63" spans="1:22" x14ac:dyDescent="0.25">
      <c r="A63" s="4" t="str">
        <f>IF(J1=0,"","@N01_4_"&amp;E28&amp;" == (GRN C01 S'grin"&amp;E28&amp;"' W7)")</f>
        <v>@N01_4_1 == (GRN C01 S'grin1' W7)</v>
      </c>
      <c r="V63" s="26"/>
    </row>
    <row r="64" spans="1:22" x14ac:dyDescent="0.25">
      <c r="A64" s="4" t="str">
        <f>IF(K1=0,"","@N01_3_"&amp;E28&amp;" == (GRN C01 S'grin"&amp;E28&amp;"' W8)")</f>
        <v>@N01_3_1 == (GRN C01 S'grin1' W8)</v>
      </c>
      <c r="V64" s="26"/>
    </row>
    <row r="65" spans="1:22" x14ac:dyDescent="0.25">
      <c r="A65" s="4" t="str">
        <f>IF(L1=0,"","@N01_2_"&amp;E28&amp;" == (GRN C01 S'grin"&amp;E28&amp;"' W9)")</f>
        <v>@N01_2_1 == (GRN C01 S'grin1' W9)</v>
      </c>
      <c r="V65" s="26"/>
    </row>
    <row r="66" spans="1:22" x14ac:dyDescent="0.25">
      <c r="A66" s="4" t="str">
        <f>IF(M1=0,"","@N01_1_"&amp;E28&amp;" == (GRN C01 S'grin"&amp;E28&amp;"' W10)")</f>
        <v>@N01_1_1 == (GRN C01 S'grin1' W10)</v>
      </c>
      <c r="V66" s="26"/>
    </row>
    <row r="67" spans="1:22" x14ac:dyDescent="0.25">
      <c r="A67" s="4" t="str">
        <f>"@N02_10_"&amp;E28&amp;" == (GRN C02 S'grin"&amp;E28&amp;"' W1)"</f>
        <v>@N02_10_1 == (GRN C02 S'grin1' W1)</v>
      </c>
    </row>
    <row r="68" spans="1:22" x14ac:dyDescent="0.25">
      <c r="A68" s="4" t="str">
        <f>"@N02_9_"&amp;E28&amp;" == (GRN C02 S'grin"&amp;E28&amp;"' W2)"</f>
        <v>@N02_9_1 == (GRN C02 S'grin1' W2)</v>
      </c>
    </row>
    <row r="69" spans="1:22" x14ac:dyDescent="0.25">
      <c r="A69" s="4" t="str">
        <f>"@N02_8_"&amp;E28&amp;" == (GRN C02 S'grin"&amp;E28&amp;"' W3)"</f>
        <v>@N02_8_1 == (GRN C02 S'grin1' W3)</v>
      </c>
    </row>
    <row r="70" spans="1:22" x14ac:dyDescent="0.25">
      <c r="A70" s="4" t="str">
        <f>IF(G1=0,"","@N02_7_"&amp;E28&amp;" == (GRN C02 S'grin"&amp;E28&amp;"' W4)")</f>
        <v>@N02_7_1 == (GRN C02 S'grin1' W4)</v>
      </c>
    </row>
    <row r="71" spans="1:22" x14ac:dyDescent="0.25">
      <c r="A71" s="4" t="str">
        <f>IF(H1=0,"","@N02_6_"&amp;E28&amp;" == (GRN C02 S'grin"&amp;E28&amp;"' W5)")</f>
        <v>@N02_6_1 == (GRN C02 S'grin1' W5)</v>
      </c>
    </row>
    <row r="72" spans="1:22" x14ac:dyDescent="0.25">
      <c r="A72" s="4" t="str">
        <f>IF(I1=0,"","@N02_5_"&amp;E28&amp;" == (GRN C02 S'grin"&amp;E28&amp;"' W6)")</f>
        <v>@N02_5_1 == (GRN C02 S'grin1' W6)</v>
      </c>
      <c r="V72" s="26"/>
    </row>
    <row r="73" spans="1:22" x14ac:dyDescent="0.25">
      <c r="A73" s="4" t="str">
        <f>IF(J1=0,"","@N02_4_"&amp;E28&amp;" == (GRN C02 S'grin"&amp;E28&amp;"' W7)")</f>
        <v>@N02_4_1 == (GRN C02 S'grin1' W7)</v>
      </c>
      <c r="V73" s="26"/>
    </row>
    <row r="74" spans="1:22" x14ac:dyDescent="0.25">
      <c r="A74" s="4" t="str">
        <f>IF(K1=0,"","@N02_3_"&amp;E28&amp;" == (GRN C02 S'grin"&amp;E28&amp;"' W8)")</f>
        <v>@N02_3_1 == (GRN C02 S'grin1' W8)</v>
      </c>
      <c r="V74" s="26"/>
    </row>
    <row r="75" spans="1:22" x14ac:dyDescent="0.25">
      <c r="A75" s="4" t="str">
        <f>IF(L1=0,"","@N02_2_"&amp;E28&amp;" == (GRN C02 S'grin"&amp;E28&amp;"' W9)")</f>
        <v>@N02_2_1 == (GRN C02 S'grin1' W9)</v>
      </c>
      <c r="V75" s="26"/>
    </row>
    <row r="76" spans="1:22" x14ac:dyDescent="0.25">
      <c r="A76" s="4" t="str">
        <f>IF(M1=0,"","@N02_1_"&amp;E28&amp;" == (GRN C02 S'grin"&amp;E28&amp;"' W10)")</f>
        <v>@N02_1_1 == (GRN C02 S'grin1' W10)</v>
      </c>
      <c r="V76" s="26"/>
    </row>
    <row r="77" spans="1:22" x14ac:dyDescent="0.25">
      <c r="A77" s="4"/>
    </row>
    <row r="78" spans="1:22" x14ac:dyDescent="0.25">
      <c r="A78" s="4" t="str">
        <f>"! Define range of z-values for the GRIN region"</f>
        <v>! Define range of z-values for the GRIN region</v>
      </c>
    </row>
    <row r="79" spans="1:22" x14ac:dyDescent="0.25">
      <c r="A79" s="4" t="str">
        <f>"@zmax_"&amp;E28&amp;" == (CT S'grin"&amp;E28&amp;"')"</f>
        <v>@zmax_1 == (CT S'grin1')</v>
      </c>
    </row>
    <row r="80" spans="1:22" x14ac:dyDescent="0.25">
      <c r="A80" s="4" t="str">
        <f>"@zmin_"&amp;E28&amp;" == MINF(0,(CT S'grin"&amp;E28&amp;"')-(ET S'grin"&amp;E28&amp;"'))"</f>
        <v>@zmin_1 == MINF(0,(CT S'grin1')-(ET S'grin1'))</v>
      </c>
    </row>
    <row r="81" spans="1:1" x14ac:dyDescent="0.25">
      <c r="A81" s="4"/>
    </row>
    <row r="82" spans="1:1" x14ac:dyDescent="0.25">
      <c r="A82" s="4" t="str">
        <f>"! Define concentration at zmax for reference wavelength"</f>
        <v>! Define concentration at zmax for reference wavelength</v>
      </c>
    </row>
    <row r="83" spans="1:1" x14ac:dyDescent="0.25">
      <c r="A83" s="4" t="str">
        <f>"@conc1_"&amp;E28&amp;" == ((@N0_10_"&amp;E28&amp;")+(@N01_10_"&amp;E28&amp;")*(@zmax_"&amp;E28&amp;")+(@N02_10_"&amp;E28&amp;")*(@zmax_"&amp;E28&amp;")**2-("&amp;D3&amp;"))/"&amp;D2&amp;""</f>
        <v>@conc1_1 == ((@N0_10_1)+(@N01_10_1)*(@zmax_1)+(@N02_10_1)*(@zmax_1)**2-(1.64765885294883))/0.00867139062187694</v>
      </c>
    </row>
    <row r="84" spans="1:1" x14ac:dyDescent="0.25">
      <c r="A84" s="4"/>
    </row>
    <row r="85" spans="1:1" x14ac:dyDescent="0.25">
      <c r="A85" s="4" t="str">
        <f>"! Define index difference between homogeneous material and GRIN at interface"</f>
        <v>! Define index difference between homogeneous material and GRIN at interface</v>
      </c>
    </row>
    <row r="86" spans="1:1" x14ac:dyDescent="0.25">
      <c r="A86" s="4" t="str">
        <f>"@Nh_10_"&amp;E28&amp;" == (GRN C0 S'homo"&amp;E28&amp;"' W1)-("&amp;D2&amp;"*(@conc1_"&amp;E28&amp;")+("&amp;D3&amp;"))"</f>
        <v>@Nh_10_1 == (GRN C0 S'homo1' W1)-(0.00867139062187694*(@conc1_1)+(1.64765885294883))</v>
      </c>
    </row>
    <row r="87" spans="1:1" x14ac:dyDescent="0.25">
      <c r="A87" s="4" t="str">
        <f>"@Nh_9_"&amp;E28&amp;" == (GRN C0 S'homo"&amp;E28&amp;"' W2)-("&amp;E2&amp;"*(@conc1_"&amp;E28&amp;")+("&amp;E3&amp;"))"</f>
        <v>@Nh_9_1 == (GRN C0 S'homo1' W2)-(0.00937178936742966*(@conc1_1)+(1.69579026052191))</v>
      </c>
    </row>
    <row r="88" spans="1:1" x14ac:dyDescent="0.25">
      <c r="A88" s="4" t="str">
        <f>"@Nh_8_"&amp;E28&amp;" == (GRN C0 S'homo"&amp;E28&amp;"' W3)-("&amp;F2&amp;"*(@conc1_"&amp;E28&amp;")+("&amp;F3&amp;"))"</f>
        <v>@Nh_8_1 == (GRN C0 S'homo1' W3)-(0.0096715345488223*(@conc1_1)+(1.73015757234135))</v>
      </c>
    </row>
    <row r="89" spans="1:1" x14ac:dyDescent="0.25">
      <c r="A89" s="4" t="str">
        <f>IF(G1=0,"","@Nh_7_"&amp;E28&amp;" == (GRN C0 S'homo"&amp;E28&amp;"' W4)-("&amp;G2&amp;"*(@conc1_"&amp;E28&amp;")+("&amp;G3&amp;"))")</f>
        <v>@Nh_7_1 == (GRN C0 S'homo1' W4)-(0.00974312442539182*(@conc1_1)+(1.74314973962494))</v>
      </c>
    </row>
    <row r="90" spans="1:1" x14ac:dyDescent="0.25">
      <c r="A90" s="4" t="str">
        <f>IF(H1=0,"","@Nh_6_"&amp;E28&amp;" == (GRN C0 S'homo"&amp;E28&amp;"' W5)-("&amp;H2&amp;"*(@conc1_"&amp;E28&amp;")+("&amp;H3&amp;"))")</f>
        <v>@Nh_6_1 == (GRN C0 S'homo1' W5)-(0.00978716573772243*(@conc1_1)+(1.7538235537892))</v>
      </c>
    </row>
    <row r="91" spans="1:1" x14ac:dyDescent="0.25">
      <c r="A91" s="4" t="str">
        <f>IF(I1=0,"","@Nh_5_"&amp;E28&amp;" == (GRN C0 S'homo"&amp;E28&amp;"' W6)-("&amp;I2&amp;"*(@conc1_"&amp;E28&amp;")+("&amp;I3&amp;"))")</f>
        <v>@Nh_5_1 == (GRN C0 S'homo1' W6)-(0.00981909315904073*(@conc1_1)+(1.76275305044399))</v>
      </c>
    </row>
    <row r="92" spans="1:1" x14ac:dyDescent="0.25">
      <c r="A92" s="4" t="str">
        <f>IF(J1=0,"","@Nh_4_"&amp;E28&amp;" == (GRN C0 S'homo"&amp;E28&amp;"' W7)-("&amp;J2&amp;"*(@conc1_"&amp;E28&amp;")+("&amp;J3&amp;"))")</f>
        <v>@Nh_4_1 == (GRN C0 S'homo1' W7)-(0.00986342134059104*(@conc1_1)+(1.7717149873205))</v>
      </c>
    </row>
    <row r="93" spans="1:1" x14ac:dyDescent="0.25">
      <c r="A93" s="4" t="str">
        <f>IF(K1=0,"","@Nh_3_"&amp;E28&amp;" == (GRN C0 S'homo"&amp;E28&amp;"' W8)-("&amp;K2&amp;"*(@conc1_"&amp;E28&amp;")+("&amp;K3&amp;"))")</f>
        <v>@Nh_3_1 == (GRN C0 S'homo1' W8)-(0.00995194299290092*(@conc1_1)+(1.78275992427557))</v>
      </c>
    </row>
    <row r="94" spans="1:1" x14ac:dyDescent="0.25">
      <c r="A94" s="4" t="str">
        <f>IF(L1=0,"","@Nh_2_"&amp;E28&amp;" == (GRN C0 S'homo"&amp;E28&amp;"' W9)-("&amp;L2&amp;"*(@conc1_"&amp;E28&amp;")+("&amp;L3&amp;"))")</f>
        <v>@Nh_2_1 == (GRN C0 S'homo1' W9)-(0.00999032669965838*(@conc1_1)+(1.78694899815198))</v>
      </c>
    </row>
    <row r="95" spans="1:1" x14ac:dyDescent="0.25">
      <c r="A95" s="4" t="str">
        <f>IF(M1=0,"","@Nh_1_"&amp;E28&amp;" == (GRN C0 S'homo"&amp;E28&amp;"' W10)-("&amp;M2&amp;"*(@conc1_"&amp;E28&amp;")+("&amp;M3&amp;"))")</f>
        <v>@Nh_1_1 == (GRN C0 S'homo1' W10)-(0.0100795791899897*(@conc1_1)+(1.7963640575376))</v>
      </c>
    </row>
    <row r="96" spans="1:1" x14ac:dyDescent="0.25">
      <c r="A96" s="4"/>
    </row>
    <row r="97" spans="1:1" x14ac:dyDescent="0.25">
      <c r="A97" s="4" t="str">
        <f>"! Define GRIN profile values based on the profile at reference wavelength"</f>
        <v>! Define GRIN profile values based on the profile at reference wavelength</v>
      </c>
    </row>
    <row r="98" spans="1:1" x14ac:dyDescent="0.25">
      <c r="A98" s="4" t="str">
        <f>"@dN0_9_"&amp;E28&amp;" == "&amp;E2&amp;"*((@N0_10_"&amp;E28&amp;")-("&amp;D3&amp;"))/"&amp;D2&amp;"+"&amp;E3&amp;"-(@N0_9_"&amp;E28&amp;")"</f>
        <v>@dN0_9_1 == 0.00937178936742966*((@N0_10_1)-(1.64765885294883))/0.00867139062187694+1.69579026052191-(@N0_9_1)</v>
      </c>
    </row>
    <row r="99" spans="1:1" x14ac:dyDescent="0.25">
      <c r="A99" s="4" t="str">
        <f>"@dN0_8_"&amp;E28&amp;" == "&amp;F2&amp;"*((@N0_10_"&amp;E28&amp;")-("&amp;D3&amp;"))/"&amp;D2&amp;"+"&amp;F3&amp;"-(@N0_8_"&amp;E28&amp;")"</f>
        <v>@dN0_8_1 == 0.0096715345488223*((@N0_10_1)-(1.64765885294883))/0.00867139062187694+1.73015757234135-(@N0_8_1)</v>
      </c>
    </row>
    <row r="100" spans="1:1" x14ac:dyDescent="0.25">
      <c r="A100" s="4" t="str">
        <f>IF(G1=0,"","@dN0_7_"&amp;E28&amp;" == "&amp;G2&amp;"*((@N0_10_"&amp;E28&amp;")-("&amp;D3&amp;"))/"&amp;D2&amp;"+"&amp;G3&amp;"-(@N0_7_"&amp;E28&amp;")")</f>
        <v>@dN0_7_1 == 0.00974312442539182*((@N0_10_1)-(1.64765885294883))/0.00867139062187694+1.74314973962494-(@N0_7_1)</v>
      </c>
    </row>
    <row r="101" spans="1:1" x14ac:dyDescent="0.25">
      <c r="A101" s="4" t="str">
        <f>IF(H1=0,"","@dN0_6_"&amp;E28&amp;" == "&amp;H2&amp;"*((@N0_10_"&amp;E28&amp;")-("&amp;D3&amp;"))/"&amp;D2&amp;"+"&amp;H3&amp;"-(@N0_6_"&amp;E28&amp;")")</f>
        <v>@dN0_6_1 == 0.00978716573772243*((@N0_10_1)-(1.64765885294883))/0.00867139062187694+1.7538235537892-(@N0_6_1)</v>
      </c>
    </row>
    <row r="102" spans="1:1" x14ac:dyDescent="0.25">
      <c r="A102" s="4" t="str">
        <f>IF(I1=0,"","@dN0_5_"&amp;E28&amp;" == "&amp;I2&amp;"*((@N0_10_"&amp;E28&amp;")-("&amp;D3&amp;"))/"&amp;D2&amp;"+"&amp;I3&amp;"-(@N0_5_"&amp;E28&amp;")")</f>
        <v>@dN0_5_1 == 0.00981909315904073*((@N0_10_1)-(1.64765885294883))/0.00867139062187694+1.76275305044399-(@N0_5_1)</v>
      </c>
    </row>
    <row r="103" spans="1:1" x14ac:dyDescent="0.25">
      <c r="A103" s="4" t="str">
        <f>IF(J1=0,"","@dN0_4_"&amp;E28&amp;" == "&amp;J2&amp;"*((@N0_10_"&amp;E28&amp;")-("&amp;D3&amp;"))/"&amp;D2&amp;"+"&amp;J3&amp;"-(@N0_4_"&amp;E28&amp;")")</f>
        <v>@dN0_4_1 == 0.00986342134059104*((@N0_10_1)-(1.64765885294883))/0.00867139062187694+1.7717149873205-(@N0_4_1)</v>
      </c>
    </row>
    <row r="104" spans="1:1" x14ac:dyDescent="0.25">
      <c r="A104" s="4" t="str">
        <f>IF(K1=0,"","@dN0_3_"&amp;E28&amp;" == "&amp;K2&amp;"*((@N0_10_"&amp;E28&amp;")-("&amp;D3&amp;"))/"&amp;D2&amp;"+"&amp;K3&amp;"-(@N0_3_"&amp;E28&amp;")")</f>
        <v>@dN0_3_1 == 0.00995194299290092*((@N0_10_1)-(1.64765885294883))/0.00867139062187694+1.78275992427557-(@N0_3_1)</v>
      </c>
    </row>
    <row r="105" spans="1:1" x14ac:dyDescent="0.25">
      <c r="A105" s="4" t="str">
        <f>IF(L1=0,"","@dN0_2_"&amp;E28&amp;" == "&amp;L2&amp;"*((@N0_10_"&amp;E28&amp;")-("&amp;D3&amp;"))/"&amp;D2&amp;"+"&amp;L3&amp;"-(@N0_2_"&amp;E28&amp;")")</f>
        <v>@dN0_2_1 == 0.00999032669965838*((@N0_10_1)-(1.64765885294883))/0.00867139062187694+1.78694899815198-(@N0_2_1)</v>
      </c>
    </row>
    <row r="106" spans="1:1" x14ac:dyDescent="0.25">
      <c r="A106" s="4" t="str">
        <f>IF(M1=0,"","@dN0_1_"&amp;E28&amp;" == "&amp;M2&amp;"*((@N0_10_"&amp;E28&amp;")-("&amp;D3&amp;"))/"&amp;D2&amp;"+"&amp;M3&amp;"-(@N0_1_"&amp;E28&amp;")")</f>
        <v>@dN0_1_1 == 0.0100795791899897*((@N0_10_1)-(1.64765885294883))/0.00867139062187694+1.7963640575376-(@N0_1_1)</v>
      </c>
    </row>
    <row r="107" spans="1:1" x14ac:dyDescent="0.25">
      <c r="A107" s="4" t="str">
        <f>"@dN01_9_"&amp;E28&amp;" == ("&amp;E2&amp;"*(@N01_10_"&amp;E28&amp;")/"&amp;D2&amp;"-(@N01_9_"&amp;E28&amp;"))*((@zmax_"&amp;E28&amp;")-(@zmin_"&amp;E28&amp;"))"</f>
        <v>@dN01_9_1 == (0.00937178936742966*(@N01_10_1)/0.00867139062187694-(@N01_9_1))*((@zmax_1)-(@zmin_1))</v>
      </c>
    </row>
    <row r="108" spans="1:1" x14ac:dyDescent="0.25">
      <c r="A108" s="4" t="str">
        <f>"@dN01_8_"&amp;E28&amp;" == ("&amp;F2&amp;"*(@N01_10_"&amp;E28&amp;")/"&amp;D2&amp;"-(@N01_8_"&amp;E28&amp;"))*((@zmax_"&amp;E28&amp;")-(@zmin_"&amp;E28&amp;"))"</f>
        <v>@dN01_8_1 == (0.0096715345488223*(@N01_10_1)/0.00867139062187694-(@N01_8_1))*((@zmax_1)-(@zmin_1))</v>
      </c>
    </row>
    <row r="109" spans="1:1" x14ac:dyDescent="0.25">
      <c r="A109" s="4" t="str">
        <f>IF(G1=0,"","@dN01_7_"&amp;E28&amp;" == ("&amp;G2&amp;"*(@N01_10_"&amp;E28&amp;")/"&amp;D2&amp;"-(@N01_7_"&amp;E28&amp;"))*((@zmax_"&amp;E28&amp;")-(@zmin_"&amp;E28&amp;"))")</f>
        <v>@dN01_7_1 == (0.00974312442539182*(@N01_10_1)/0.00867139062187694-(@N01_7_1))*((@zmax_1)-(@zmin_1))</v>
      </c>
    </row>
    <row r="110" spans="1:1" x14ac:dyDescent="0.25">
      <c r="A110" s="4" t="str">
        <f>IF(H1=0,"","@dN01_6_"&amp;E28&amp;" == ("&amp;H2&amp;"*(@N01_10_"&amp;E28&amp;")/"&amp;D2&amp;"-(@N01_6_"&amp;E28&amp;"))*((@zmax_"&amp;E28&amp;")-(@zmin_"&amp;E28&amp;"))")</f>
        <v>@dN01_6_1 == (0.00978716573772243*(@N01_10_1)/0.00867139062187694-(@N01_6_1))*((@zmax_1)-(@zmin_1))</v>
      </c>
    </row>
    <row r="111" spans="1:1" x14ac:dyDescent="0.25">
      <c r="A111" s="4" t="str">
        <f>IF(I1=0,"","@dN01_5_"&amp;E28&amp;" == ("&amp;I2&amp;"*(@N01_10_"&amp;E28&amp;")/"&amp;D2&amp;"-(@N01_5_"&amp;E28&amp;"))*((@zmax_"&amp;E28&amp;")-(@zmin_"&amp;E28&amp;"))")</f>
        <v>@dN01_5_1 == (0.00981909315904073*(@N01_10_1)/0.00867139062187694-(@N01_5_1))*((@zmax_1)-(@zmin_1))</v>
      </c>
    </row>
    <row r="112" spans="1:1" x14ac:dyDescent="0.25">
      <c r="A112" s="4" t="str">
        <f>IF(J1=0,"","@dN01_4_"&amp;E28&amp;" == ("&amp;J2&amp;"*(@N01_10_"&amp;E28&amp;")/"&amp;D2&amp;"-(@N01_4_"&amp;E28&amp;"))*((@zmax_"&amp;E28&amp;")-(@zmin_"&amp;E28&amp;"))")</f>
        <v>@dN01_4_1 == (0.00986342134059104*(@N01_10_1)/0.00867139062187694-(@N01_4_1))*((@zmax_1)-(@zmin_1))</v>
      </c>
    </row>
    <row r="113" spans="1:1" x14ac:dyDescent="0.25">
      <c r="A113" s="4" t="str">
        <f>IF(K1=0,"","@dN01_3_"&amp;E28&amp;" == ("&amp;K2&amp;"*(@N01_10_"&amp;E28&amp;")/"&amp;D2&amp;"-(@N01_3_"&amp;E28&amp;"))*((@zmax_"&amp;E28&amp;")-(@zmin_"&amp;E28&amp;"))")</f>
        <v>@dN01_3_1 == (0.00995194299290092*(@N01_10_1)/0.00867139062187694-(@N01_3_1))*((@zmax_1)-(@zmin_1))</v>
      </c>
    </row>
    <row r="114" spans="1:1" x14ac:dyDescent="0.25">
      <c r="A114" s="4" t="str">
        <f>IF(L1=0,"","@dN01_2_"&amp;E28&amp;" == ("&amp;L2&amp;"*(@N01_10_"&amp;E28&amp;")/"&amp;D2&amp;"-(@N01_2_"&amp;E28&amp;"))*((@zmax_"&amp;E28&amp;")-(@zmin_"&amp;E28&amp;"))")</f>
        <v>@dN01_2_1 == (0.00999032669965838*(@N01_10_1)/0.00867139062187694-(@N01_2_1))*((@zmax_1)-(@zmin_1))</v>
      </c>
    </row>
    <row r="115" spans="1:1" x14ac:dyDescent="0.25">
      <c r="A115" s="4" t="str">
        <f>IF(M1=0,"","@dN01_1_"&amp;E28&amp;" == ("&amp;M2&amp;"*(@N01_10_"&amp;E28&amp;")/"&amp;D2&amp;"-(@N01_1_"&amp;E28&amp;"))*((@zmax_"&amp;E28&amp;")-(@zmin_"&amp;E28&amp;"))")</f>
        <v>@dN01_1_1 == (0.0100795791899897*(@N01_10_1)/0.00867139062187694-(@N01_1_1))*((@zmax_1)-(@zmin_1))</v>
      </c>
    </row>
    <row r="116" spans="1:1" x14ac:dyDescent="0.25">
      <c r="A116" s="4" t="str">
        <f>"@dN02_9_"&amp;E28&amp;" == ("&amp;E2&amp;"*(@N02_10_"&amp;E28&amp;")/"&amp;D2&amp;"-(@N02_9_"&amp;E28&amp;"))*((@zmax_"&amp;E28&amp;")-(@zmin_"&amp;E28&amp;"))**2"</f>
        <v>@dN02_9_1 == (0.00937178936742966*(@N02_10_1)/0.00867139062187694-(@N02_9_1))*((@zmax_1)-(@zmin_1))**2</v>
      </c>
    </row>
    <row r="117" spans="1:1" x14ac:dyDescent="0.25">
      <c r="A117" s="4" t="str">
        <f>"@dN02_8_"&amp;E28&amp;" == ("&amp;F2&amp;"*(@N02_10_"&amp;E28&amp;")/"&amp;D2&amp;"-(@N02_8_"&amp;E28&amp;"))*((@zmax_"&amp;E28&amp;")-(@zmin_"&amp;E28&amp;"))**2"</f>
        <v>@dN02_8_1 == (0.0096715345488223*(@N02_10_1)/0.00867139062187694-(@N02_8_1))*((@zmax_1)-(@zmin_1))**2</v>
      </c>
    </row>
    <row r="118" spans="1:1" x14ac:dyDescent="0.25">
      <c r="A118" s="4" t="str">
        <f>IF(G1=0,"","@dN02_7_"&amp;E28&amp;" == ("&amp;G2&amp;"*(@N02_10_"&amp;E28&amp;")/"&amp;D2&amp;"-(@N02_7_"&amp;E28&amp;"))*((@zmax_"&amp;E28&amp;")-(@zmin_"&amp;E28&amp;"))**2")</f>
        <v>@dN02_7_1 == (0.00974312442539182*(@N02_10_1)/0.00867139062187694-(@N02_7_1))*((@zmax_1)-(@zmin_1))**2</v>
      </c>
    </row>
    <row r="119" spans="1:1" x14ac:dyDescent="0.25">
      <c r="A119" s="4" t="str">
        <f>IF(H1=0,"","@dN02_6_"&amp;E28&amp;" == ("&amp;H2&amp;"*(@N02_10_"&amp;E28&amp;")/"&amp;D2&amp;"-(@N02_6_"&amp;E28&amp;"))*((@zmax_"&amp;E28&amp;")-(@zmin_"&amp;E28&amp;"))**2")</f>
        <v>@dN02_6_1 == (0.00978716573772243*(@N02_10_1)/0.00867139062187694-(@N02_6_1))*((@zmax_1)-(@zmin_1))**2</v>
      </c>
    </row>
    <row r="120" spans="1:1" x14ac:dyDescent="0.25">
      <c r="A120" s="4" t="str">
        <f>IF(I1=0,"","@dN02_5_"&amp;E28&amp;" == ("&amp;I2&amp;"*(@N02_10_"&amp;E28&amp;")/"&amp;D2&amp;"-(@N02_5_"&amp;E28&amp;"))*((@zmax_"&amp;E28&amp;")-(@zmin_"&amp;E28&amp;"))**2")</f>
        <v>@dN02_5_1 == (0.00981909315904073*(@N02_10_1)/0.00867139062187694-(@N02_5_1))*((@zmax_1)-(@zmin_1))**2</v>
      </c>
    </row>
    <row r="121" spans="1:1" x14ac:dyDescent="0.25">
      <c r="A121" s="4" t="str">
        <f>IF(J1=0,"","@dN02_4_"&amp;E28&amp;" == ("&amp;J2&amp;"*(@N02_10_"&amp;E28&amp;")/"&amp;D2&amp;"-(@N02_4_"&amp;E28&amp;"))*((@zmax_"&amp;E28&amp;")-(@zmin_"&amp;E28&amp;"))**2")</f>
        <v>@dN02_4_1 == (0.00986342134059104*(@N02_10_1)/0.00867139062187694-(@N02_4_1))*((@zmax_1)-(@zmin_1))**2</v>
      </c>
    </row>
    <row r="122" spans="1:1" x14ac:dyDescent="0.25">
      <c r="A122" s="4" t="str">
        <f>IF(K1=0,"","@dN02_3_"&amp;E28&amp;" == ("&amp;K2&amp;"*(@N02_10_"&amp;E28&amp;")/"&amp;D2&amp;"-(@N02_3_"&amp;E28&amp;"))*((@zmax_"&amp;E28&amp;")-(@zmin_"&amp;E28&amp;"))**2")</f>
        <v>@dN02_3_1 == (0.00995194299290092*(@N02_10_1)/0.00867139062187694-(@N02_3_1))*((@zmax_1)-(@zmin_1))**2</v>
      </c>
    </row>
    <row r="123" spans="1:1" x14ac:dyDescent="0.25">
      <c r="A123" s="4" t="str">
        <f>IF(L1=0,"","@dN02_2_"&amp;E28&amp;" == ("&amp;L2&amp;"*(@N02_10_"&amp;E28&amp;")/"&amp;D2&amp;"-(@N02_2_"&amp;E28&amp;"))*((@zmax_"&amp;E28&amp;")-(@zmin_"&amp;E28&amp;"))**2")</f>
        <v>@dN02_2_1 == (0.00999032669965838*(@N02_10_1)/0.00867139062187694-(@N02_2_1))*((@zmax_1)-(@zmin_1))**2</v>
      </c>
    </row>
    <row r="124" spans="1:1" x14ac:dyDescent="0.25">
      <c r="A124" s="4" t="str">
        <f>IF(M1=0,"","@dN02_1_"&amp;E28&amp;" == ("&amp;M2&amp;"*(@N02_10_"&amp;E28&amp;")/"&amp;D2&amp;"-(@N02_1_"&amp;E28&amp;"))*((@zmax_"&amp;E28&amp;")-(@zmin_"&amp;E28&amp;"))**2")</f>
        <v>@dN02_1_1 == (0.0100795791899897*(@N02_10_1)/0.00867139062187694-(@N02_1_1))*((@zmax_1)-(@zmin_1))**2</v>
      </c>
    </row>
    <row r="125" spans="1:1" x14ac:dyDescent="0.25">
      <c r="A125" s="4"/>
    </row>
    <row r="126" spans="1:1" x14ac:dyDescent="0.25">
      <c r="A126" s="4" t="str">
        <f>"! Constrain GRIN profile at other wavelengths"</f>
        <v>! Constrain GRIN profile at other wavelengths</v>
      </c>
    </row>
    <row r="127" spans="1:1" x14ac:dyDescent="0.25">
      <c r="A127" s="4" t="str">
        <f>IF(C17="yes","@dN0_9_"&amp;E28&amp;" = 0","")</f>
        <v>@dN0_9_1 = 0</v>
      </c>
    </row>
    <row r="128" spans="1:1" x14ac:dyDescent="0.25">
      <c r="A128" s="4" t="str">
        <f>IF(C17="yes","@dN0_8_"&amp;E28&amp;" = 0","")</f>
        <v>@dN0_8_1 = 0</v>
      </c>
    </row>
    <row r="129" spans="1:1" x14ac:dyDescent="0.25">
      <c r="A129" s="4" t="str">
        <f>IF(C17="yes",IF(G1=0,"","@dN0_7_"&amp;E28&amp;" = 0"),"")</f>
        <v>@dN0_7_1 = 0</v>
      </c>
    </row>
    <row r="130" spans="1:1" x14ac:dyDescent="0.25">
      <c r="A130" s="4" t="str">
        <f>IF(C17="yes",IF(H1=0,"","@dN0_6_"&amp;E28&amp;" = 0"),"")</f>
        <v>@dN0_6_1 = 0</v>
      </c>
    </row>
    <row r="131" spans="1:1" x14ac:dyDescent="0.25">
      <c r="A131" s="4" t="str">
        <f>IF(C17="yes",IF(I1=0,"","@dN0_5_"&amp;E28&amp;" = 0"),"")</f>
        <v>@dN0_5_1 = 0</v>
      </c>
    </row>
    <row r="132" spans="1:1" x14ac:dyDescent="0.25">
      <c r="A132" s="4" t="str">
        <f>IF(C17="yes",IF(J1=0,"","@dN0_4_"&amp;E28&amp;" = 0"),"")</f>
        <v>@dN0_4_1 = 0</v>
      </c>
    </row>
    <row r="133" spans="1:1" x14ac:dyDescent="0.25">
      <c r="A133" s="4" t="str">
        <f>IF(C17="yes",IF(K1=0,"","@dN0_3_"&amp;E28&amp;" = 0"),"")</f>
        <v>@dN0_3_1 = 0</v>
      </c>
    </row>
    <row r="134" spans="1:1" x14ac:dyDescent="0.25">
      <c r="A134" s="4" t="str">
        <f>IF(C17="yes",IF(L1=0,"","@dN0_2_"&amp;E28&amp;" = 0"),"")</f>
        <v>@dN0_2_1 = 0</v>
      </c>
    </row>
    <row r="135" spans="1:1" x14ac:dyDescent="0.25">
      <c r="A135" s="4" t="str">
        <f>IF(C17="yes",IF(M1=0,"","@dN0_1_"&amp;E28&amp;" = 0"),"")</f>
        <v>@dN0_1_1 = 0</v>
      </c>
    </row>
    <row r="136" spans="1:1" x14ac:dyDescent="0.25">
      <c r="A136" s="4" t="str">
        <f>IF(C18="yes","@dN01_9_"&amp;E28&amp;" = 0","")</f>
        <v>@dN01_9_1 = 0</v>
      </c>
    </row>
    <row r="137" spans="1:1" x14ac:dyDescent="0.25">
      <c r="A137" s="4" t="str">
        <f>IF(C18="yes","@dN01_8_"&amp;E28&amp;" = 0","")</f>
        <v>@dN01_8_1 = 0</v>
      </c>
    </row>
    <row r="138" spans="1:1" x14ac:dyDescent="0.25">
      <c r="A138" s="4" t="str">
        <f>IF(C18="yes",IF(G1=0,"","@dN01_7_"&amp;E28&amp;" = 0"),"")</f>
        <v>@dN01_7_1 = 0</v>
      </c>
    </row>
    <row r="139" spans="1:1" x14ac:dyDescent="0.25">
      <c r="A139" s="4" t="str">
        <f>IF(C18="yes",IF(H1=0,"","@dN01_6_"&amp;E28&amp;" = 0"),"")</f>
        <v>@dN01_6_1 = 0</v>
      </c>
    </row>
    <row r="140" spans="1:1" x14ac:dyDescent="0.25">
      <c r="A140" s="4" t="str">
        <f>IF(C18="yes",IF(I1=0,"","@dN01_5_"&amp;E28&amp;" = 0"),"")</f>
        <v>@dN01_5_1 = 0</v>
      </c>
    </row>
    <row r="141" spans="1:1" x14ac:dyDescent="0.25">
      <c r="A141" s="4" t="str">
        <f>IF(C18="yes",IF(J1=0,"","@dN01_4_"&amp;E28&amp;" = 0"),"")</f>
        <v>@dN01_4_1 = 0</v>
      </c>
    </row>
    <row r="142" spans="1:1" x14ac:dyDescent="0.25">
      <c r="A142" s="4" t="str">
        <f>IF(C18="yes",IF(K1=0,"","@dN01_3_"&amp;E28&amp;" = 0"),"")</f>
        <v>@dN01_3_1 = 0</v>
      </c>
    </row>
    <row r="143" spans="1:1" x14ac:dyDescent="0.25">
      <c r="A143" s="4" t="str">
        <f>IF(C18="yes",IF(L1=0,"","@dN01_2_"&amp;E28&amp;" = 0"),"")</f>
        <v>@dN01_2_1 = 0</v>
      </c>
    </row>
    <row r="144" spans="1:1" x14ac:dyDescent="0.25">
      <c r="A144" s="4" t="str">
        <f>IF(C18="yes",IF(M1=0,"","@dN01_1_"&amp;E28&amp;" = 0"),"")</f>
        <v>@dN01_1_1 = 0</v>
      </c>
    </row>
    <row r="145" spans="1:1" x14ac:dyDescent="0.25">
      <c r="A145" s="4" t="str">
        <f>IF(C19="yes","@dN02_9_"&amp;E28&amp;" = 0","")</f>
        <v>@dN02_9_1 = 0</v>
      </c>
    </row>
    <row r="146" spans="1:1" x14ac:dyDescent="0.25">
      <c r="A146" s="4" t="str">
        <f>IF(C19="yes","@dN02_8_"&amp;E28&amp;" = 0","")</f>
        <v>@dN02_8_1 = 0</v>
      </c>
    </row>
    <row r="147" spans="1:1" x14ac:dyDescent="0.25">
      <c r="A147" s="4" t="str">
        <f>IF(C19="yes",IF(G1=0,"","@dN02_7_"&amp;E28&amp;" = 0"),"")</f>
        <v>@dN02_7_1 = 0</v>
      </c>
    </row>
    <row r="148" spans="1:1" x14ac:dyDescent="0.25">
      <c r="A148" s="4" t="str">
        <f>IF(C19="yes",IF(H1=0,"","@dN02_6_"&amp;E28&amp;" = 0"),"")</f>
        <v>@dN02_6_1 = 0</v>
      </c>
    </row>
    <row r="149" spans="1:1" x14ac:dyDescent="0.25">
      <c r="A149" s="4" t="str">
        <f>IF(C19="yes",IF(I1=0,"","@dN02_5_"&amp;E28&amp;" = 0"),"")</f>
        <v>@dN02_5_1 = 0</v>
      </c>
    </row>
    <row r="150" spans="1:1" x14ac:dyDescent="0.25">
      <c r="A150" s="4" t="str">
        <f>IF(C19="yes",IF(J1=0,"","@dN02_4_"&amp;E28&amp;" = 0"),"")</f>
        <v>@dN02_4_1 = 0</v>
      </c>
    </row>
    <row r="151" spans="1:1" x14ac:dyDescent="0.25">
      <c r="A151" s="4" t="str">
        <f>IF(C19="yes",IF(K1=0,"","@dN02_3_"&amp;E28&amp;" = 0"),"")</f>
        <v>@dN02_3_1 = 0</v>
      </c>
    </row>
    <row r="152" spans="1:1" x14ac:dyDescent="0.25">
      <c r="A152" s="4" t="str">
        <f>IF(C19="yes",IF(L1=0,"","@dN02_2_"&amp;E28&amp;" = 0"),"")</f>
        <v>@dN02_2_1 = 0</v>
      </c>
    </row>
    <row r="153" spans="1:1" x14ac:dyDescent="0.25">
      <c r="A153" s="4" t="str">
        <f>IF(C19="yes",IF(M1=0,"","@dN02_1_"&amp;E28&amp;" = 0"),"")</f>
        <v>@dN02_1_1 = 0</v>
      </c>
    </row>
    <row r="154" spans="1:1" x14ac:dyDescent="0.25">
      <c r="A154" s="4"/>
    </row>
    <row r="155" spans="1:1" x14ac:dyDescent="0.25">
      <c r="A155" s="4" t="str">
        <f>"! Constrain homogeneous material to match the GRIN index at the interface"</f>
        <v>! Constrain homogeneous material to match the GRIN index at the interface</v>
      </c>
    </row>
    <row r="156" spans="1:1" x14ac:dyDescent="0.25">
      <c r="A156" s="4" t="str">
        <f>"@Nh_10_"&amp;E28&amp;" = 0"</f>
        <v>@Nh_10_1 = 0</v>
      </c>
    </row>
    <row r="157" spans="1:1" x14ac:dyDescent="0.25">
      <c r="A157" s="4" t="str">
        <f>"@Nh_9_"&amp;E28&amp;" = 0"</f>
        <v>@Nh_9_1 = 0</v>
      </c>
    </row>
    <row r="158" spans="1:1" x14ac:dyDescent="0.25">
      <c r="A158" s="4" t="str">
        <f>"@Nh_8_"&amp;E28&amp;" = 0"</f>
        <v>@Nh_8_1 = 0</v>
      </c>
    </row>
    <row r="159" spans="1:1" x14ac:dyDescent="0.25">
      <c r="A159" s="4" t="str">
        <f>IF(G1=0,"","@Nh_7_"&amp;E28&amp;" = 0")</f>
        <v>@Nh_7_1 = 0</v>
      </c>
    </row>
    <row r="160" spans="1:1" x14ac:dyDescent="0.25">
      <c r="A160" s="4" t="str">
        <f>IF(H1=0,"","@Nh_6_"&amp;E28&amp;" = 0")</f>
        <v>@Nh_6_1 = 0</v>
      </c>
    </row>
    <row r="161" spans="1:26" x14ac:dyDescent="0.25">
      <c r="A161" s="4" t="str">
        <f>IF(I1=0,"","@Nh_5_"&amp;E28&amp;" = 0")</f>
        <v>@Nh_5_1 = 0</v>
      </c>
    </row>
    <row r="162" spans="1:26" x14ac:dyDescent="0.25">
      <c r="A162" s="4" t="str">
        <f>IF(J1=0,"","@Nh_4_"&amp;E28&amp;" = 0")</f>
        <v>@Nh_4_1 = 0</v>
      </c>
    </row>
    <row r="163" spans="1:26" x14ac:dyDescent="0.25">
      <c r="A163" s="4" t="str">
        <f>IF(K1=0,"","@Nh_3_"&amp;E28&amp;" = 0")</f>
        <v>@Nh_3_1 = 0</v>
      </c>
    </row>
    <row r="164" spans="1:26" x14ac:dyDescent="0.25">
      <c r="A164" s="4" t="str">
        <f>IF(L1=0,"","@Nh_2_"&amp;E28&amp;" = 0")</f>
        <v>@Nh_2_1 = 0</v>
      </c>
    </row>
    <row r="165" spans="1:26" x14ac:dyDescent="0.25">
      <c r="A165" s="4" t="str">
        <f>IF(M1=0,"","@Nh_1_"&amp;E28&amp;" = 0")</f>
        <v>@Nh_1_1 = 0</v>
      </c>
    </row>
    <row r="166" spans="1:26" x14ac:dyDescent="0.25">
      <c r="A166" s="4"/>
    </row>
    <row r="167" spans="1:26" x14ac:dyDescent="0.25">
      <c r="A167" s="4" t="str">
        <f>"! Define maximum and minimum lattice constants"</f>
        <v>! Define maximum and minimum lattice constants</v>
      </c>
    </row>
    <row r="168" spans="1:26" x14ac:dyDescent="0.25">
      <c r="A168" s="4" t="str">
        <f>"@dz_"&amp;E28&amp;" == (@zmax_"&amp;E28&amp;")-(@zmin_"&amp;E28&amp;")"</f>
        <v>@dz_1 == (@zmax_1)-(@zmin_1)</v>
      </c>
    </row>
    <row r="169" spans="1:26" x14ac:dyDescent="0.25">
      <c r="A169" s="4" t="str">
        <f>"@nmax_"&amp;E28&amp;" == MAXF(index((SLB S'grin"&amp;E28&amp;"'),1,1,1,0,0,@zmin_"&amp;E28&amp;"),MAXF(index((SLB S'grin"&amp;E28&amp;"'),1,1,1,0,0,@zmin_"&amp;E28&amp;"+0.1*@dz_"&amp;E28&amp;"),MAXF(index((SLB S'grin"&amp;E28&amp;"'),1,1,1,0,0,@zmin_"&amp;E28&amp;"+0.2*@dz_"&amp;E28&amp;"),MAXF(index((SLB S'grin"&amp;E28&amp;"'),1,1,1,0,0,@zmin_"&amp;E28&amp;"+0.3*@dz_"&amp;E28&amp;"),MAXF(index((SLB S'grin"&amp;E28&amp;"'),1,1,1,0,0,@zmin_"&amp;E28&amp;"+0.4*@dz_"&amp;E28&amp;"),MAXF(index((SLB S'grin"&amp;E28&amp;"'),1,1,1,0,0,@zmin_"&amp;E28&amp;"+0.5*@dz_"&amp;E28&amp;"),MAXF(index((SLB S'grin"&amp;E28&amp;"'),1,1,1,0,0,@zmin_"&amp;E28&amp;"+0.6*@dz_"&amp;E28&amp;"),MAXF(index((SLB S'grin"&amp;E28&amp;"'),1,1,1,0,0,@zmin_"&amp;E28&amp;"+0.7*@dz_"&amp;E28&amp;"),MAXF(index((SLB S'grin"&amp;E28&amp;"'),1,1,1,0,0,@zmin_"&amp;E28&amp;"+0.8*@dz_"&amp;E28&amp;"),MAXF(index((SLB S'grin"&amp;E28&amp;"'),1,1,1,0,0,@zmin_"&amp;E28&amp;"+0.9*@dz_"&amp;E28&amp;"),index((SLB S'grin"&amp;E28&amp;"'),1,1,1,0,0,@zmin_"&amp;E28&amp;"+@dz_"&amp;E28&amp;")))))))))))"</f>
        <v>@nmax_1 == MAXF(index((SLB S'grin1'),1,1,1,0,0,@zmin_1),MAXF(index((SLB S'grin1'),1,1,1,0,0,@zmin_1+0.1*@dz_1),MAXF(index((SLB S'grin1'),1,1,1,0,0,@zmin_1+0.2*@dz_1),MAXF(index((SLB S'grin1'),1,1,1,0,0,@zmin_1+0.3*@dz_1),MAXF(index((SLB S'grin1'),1,1,1,0,0,@zmin_1+0.4*@dz_1),MAXF(index((SLB S'grin1'),1,1,1,0,0,@zmin_1+0.5*@dz_1),MAXF(index((SLB S'grin1'),1,1,1,0,0,@zmin_1+0.6*@dz_1),MAXF(index((SLB S'grin1'),1,1,1,0,0,@zmin_1+0.7*@dz_1),MAXF(index((SLB S'grin1'),1,1,1,0,0,@zmin_1+0.8*@dz_1),MAXF(index((SLB S'grin1'),1,1,1,0,0,@zmin_1+0.9*@dz_1),index((SLB S'grin1'),1,1,1,0,0,@zmin_1+@dz_1)))))))))))</v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x14ac:dyDescent="0.25">
      <c r="A170" s="4" t="str">
        <f>"@nmin_"&amp;E28&amp;" == MINF(index((SLB S'grin"&amp;E28&amp;"'),1,1,1,0,0,@zmin_"&amp;E28&amp;"),MINF(index((SLB S'grin"&amp;E28&amp;"'),1,1,1,0,0,@zmin_"&amp;E28&amp;"+0.1*@dz_"&amp;E28&amp;"),MINF(index((SLB S'grin"&amp;E28&amp;"'),1,1,1,0,0,@zmin_"&amp;E28&amp;"+0.2*@dz_"&amp;E28&amp;"),MINF(index((SLB S'grin"&amp;E28&amp;"'),1,1,1,0,0,@zmin_"&amp;E28&amp;"+0.3*@dz_"&amp;E28&amp;"),MINF(index((SLB S'grin"&amp;E28&amp;"'),1,1,1,0,0,@zmin_"&amp;E28&amp;"+0.4*@dz_"&amp;E28&amp;"),MINF(index((SLB S'grin"&amp;E28&amp;"'),1,1,1,0,0,@zmin_"&amp;E28&amp;"+0.5*@dz_"&amp;E28&amp;"),MINF(index((SLB S'grin"&amp;E28&amp;"'),1,1,1,0,0,@zmin_"&amp;E28&amp;"+0.6*@dz_"&amp;E28&amp;"),MINF(index((SLB S'grin"&amp;E28&amp;"'),1,1,1,0,0,@zmin_"&amp;E28&amp;"+0.7*@dz_"&amp;E28&amp;"),MINF(index((SLB S'grin"&amp;E28&amp;"'),1,1,1,0,0,@zmin_"&amp;E28&amp;"+0.8*@dz_"&amp;E28&amp;"),MINF(index((SLB S'grin"&amp;E28&amp;"'),1,1,1,0,0,@zmin_"&amp;E28&amp;"+0.9*@dz_"&amp;E28&amp;"),index((SLB S'grin"&amp;E28&amp;"'),1,1,1,0,0,@zmin_"&amp;E28&amp;"+@dz_"&amp;E28&amp;")))))))))))"</f>
        <v>@nmin_1 == MINF(index((SLB S'grin1'),1,1,1,0,0,@zmin_1),MINF(index((SLB S'grin1'),1,1,1,0,0,@zmin_1+0.1*@dz_1),MINF(index((SLB S'grin1'),1,1,1,0,0,@zmin_1+0.2*@dz_1),MINF(index((SLB S'grin1'),1,1,1,0,0,@zmin_1+0.3*@dz_1),MINF(index((SLB S'grin1'),1,1,1,0,0,@zmin_1+0.4*@dz_1),MINF(index((SLB S'grin1'),1,1,1,0,0,@zmin_1+0.5*@dz_1),MINF(index((SLB S'grin1'),1,1,1,0,0,@zmin_1+0.6*@dz_1),MINF(index((SLB S'grin1'),1,1,1,0,0,@zmin_1+0.7*@dz_1),MINF(index((SLB S'grin1'),1,1,1,0,0,@zmin_1+0.8*@dz_1),MINF(index((SLB S'grin1'),1,1,1,0,0,@zmin_1+0.9*@dz_1),index((SLB S'grin1'),1,1,1,0,0,@zmin_1+@dz_1)))))))))))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x14ac:dyDescent="0.25">
      <c r="A171" s="4" t="str">
        <f>"@concmax_"&amp;E28&amp;" == ((@nmax_"&amp;E28&amp;")-("&amp;D3&amp;"))/"&amp;D2</f>
        <v>@concmax_1 == ((@nmax_1)-(1.64765885294883))/0.00867139062187694</v>
      </c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x14ac:dyDescent="0.25">
      <c r="A172" s="4" t="str">
        <f>"@concmin_"&amp;E28&amp;" == ((@nmin_"&amp;E28&amp;")-("&amp;D3&amp;"))/"&amp;D2</f>
        <v>@concmin_1 == ((@nmin_1)-(1.64765885294883))/0.00867139062187694</v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x14ac:dyDescent="0.25">
      <c r="A174" s="4" t="str">
        <f>"! Constrain lattice constant to be within material bounds"</f>
        <v>! Constrain lattice constant to be within material bounds</v>
      </c>
    </row>
    <row r="175" spans="1:26" x14ac:dyDescent="0.25">
      <c r="A175" s="4" t="str">
        <f>"@concmax_"&amp;E28&amp;" &gt; "&amp;C25&amp;" &lt; "&amp;C26</f>
        <v>@concmax_1 &gt; 0 &lt; 1</v>
      </c>
    </row>
    <row r="176" spans="1:26" x14ac:dyDescent="0.25">
      <c r="A176" s="4" t="str">
        <f>"@concmin_"&amp;E28&amp;" &gt; "&amp;C25&amp;" &lt; "&amp;C26</f>
        <v>@concmin_1 &gt; 0 &lt; 1</v>
      </c>
    </row>
    <row r="177" spans="1:1" x14ac:dyDescent="0.25">
      <c r="A177" s="4"/>
    </row>
    <row r="178" spans="1:1" x14ac:dyDescent="0.25">
      <c r="A178" s="4" t="str">
        <f>"! Constrain the 'useless' grin region to be small"</f>
        <v>! Constrain the 'useless' grin region to be small</v>
      </c>
    </row>
    <row r="179" spans="1:1" x14ac:dyDescent="0.25">
      <c r="A179" s="4" t="str">
        <f>"@uselessgrin_"&amp;E28&amp;" == MINF((CT S'grin"&amp;E28&amp;"'),(ET S'grin"&amp;E28&amp;"'))"</f>
        <v>@uselessgrin_1 == MINF((CT S'grin1'),(ET S'grin1'))</v>
      </c>
    </row>
    <row r="180" spans="1:1" x14ac:dyDescent="0.25">
      <c r="A180" s="4" t="str">
        <f>"@uselessgrin_"&amp;E28&amp;" &gt; 0.05 &lt; 0.1"</f>
        <v>@uselessgrin_1 &gt; 0.05 &lt; 0.1</v>
      </c>
    </row>
    <row r="181" spans="1:1" x14ac:dyDescent="0.25">
      <c r="A181" s="4" t="str">
        <f>"CT S'grin"&amp;E28&amp;"' &gt; 0.05"</f>
        <v>CT S'grin1' &gt; 0.05</v>
      </c>
    </row>
    <row r="182" spans="1:1" x14ac:dyDescent="0.25">
      <c r="A182" s="4" t="str">
        <f>"ET S'grin"&amp;E28&amp;"' &gt; 0.05"</f>
        <v>ET S'grin1' &gt; 0.05</v>
      </c>
    </row>
    <row r="185" spans="1:1" x14ac:dyDescent="0.25">
      <c r="A185" s="1" t="s">
        <v>11</v>
      </c>
    </row>
    <row r="186" spans="1:1" x14ac:dyDescent="0.25">
      <c r="A186" s="4" t="str">
        <f>"! CONSTRAINTS FOR OPTIMIZING WITH ALON LINEAR AXIAL GRADIENT ON BACK SURFACE"</f>
        <v>! CONSTRAINTS FOR OPTIMIZING WITH ALON LINEAR AXIAL GRADIENT ON BACK SURFACE</v>
      </c>
    </row>
    <row r="187" spans="1:1" x14ac:dyDescent="0.25">
      <c r="A187" s="4" t="str">
        <f>"! Define gradient coefficients at all wavelengths"</f>
        <v>! Define gradient coefficients at all wavelengths</v>
      </c>
    </row>
    <row r="188" spans="1:1" x14ac:dyDescent="0.25">
      <c r="A188" s="4" t="str">
        <f>"@N0_10_"&amp;E28&amp;" == (GRN C0 S'grin"&amp;E28&amp;"' W1)"</f>
        <v>@N0_10_1 == (GRN C0 S'grin1' W1)</v>
      </c>
    </row>
    <row r="189" spans="1:1" x14ac:dyDescent="0.25">
      <c r="A189" s="4" t="str">
        <f>"@N0_9_"&amp;E28&amp;" == (GRN C0 S'grin"&amp;E28&amp;"' W2)"</f>
        <v>@N0_9_1 == (GRN C0 S'grin1' W2)</v>
      </c>
    </row>
    <row r="190" spans="1:1" x14ac:dyDescent="0.25">
      <c r="A190" s="4" t="str">
        <f>"@N0_8_"&amp;E28&amp;" == (GRN C0 S'grin"&amp;E28&amp;"' W3)"</f>
        <v>@N0_8_1 == (GRN C0 S'grin1' W3)</v>
      </c>
    </row>
    <row r="191" spans="1:1" x14ac:dyDescent="0.25">
      <c r="A191" s="4" t="str">
        <f>IF(G1=0,"","@N0_7_"&amp;E28&amp;" == (GRN C0 S'grin"&amp;E28&amp;"' W4)")</f>
        <v>@N0_7_1 == (GRN C0 S'grin1' W4)</v>
      </c>
    </row>
    <row r="192" spans="1:1" x14ac:dyDescent="0.25">
      <c r="A192" s="4" t="str">
        <f>IF(H1=0,"","@N0_6_"&amp;E28&amp;" == (GRN C0 S'grin"&amp;E28&amp;"' W5)")</f>
        <v>@N0_6_1 == (GRN C0 S'grin1' W5)</v>
      </c>
    </row>
    <row r="193" spans="1:1" x14ac:dyDescent="0.25">
      <c r="A193" s="4" t="str">
        <f>IF(I1=0,"","@N0_5_"&amp;E28&amp;" == (GRN C0 S'grin"&amp;E28&amp;"' W6)")</f>
        <v>@N0_5_1 == (GRN C0 S'grin1' W6)</v>
      </c>
    </row>
    <row r="194" spans="1:1" x14ac:dyDescent="0.25">
      <c r="A194" s="4" t="str">
        <f>IF(J1=0,"","@N0_4_"&amp;E28&amp;" == (GRN C0 S'grin"&amp;E28&amp;"' W7)")</f>
        <v>@N0_4_1 == (GRN C0 S'grin1' W7)</v>
      </c>
    </row>
    <row r="195" spans="1:1" x14ac:dyDescent="0.25">
      <c r="A195" s="4" t="str">
        <f>IF(K1=0,"","@N0_3_"&amp;E28&amp;" == (GRN C0 S'grin"&amp;E28&amp;"' W8)")</f>
        <v>@N0_3_1 == (GRN C0 S'grin1' W8)</v>
      </c>
    </row>
    <row r="196" spans="1:1" x14ac:dyDescent="0.25">
      <c r="A196" s="4" t="str">
        <f>IF(L1=0,"","@N0_2_"&amp;E28&amp;" == (GRN C0 S'grin"&amp;E28&amp;"' W9)")</f>
        <v>@N0_2_1 == (GRN C0 S'grin1' W9)</v>
      </c>
    </row>
    <row r="197" spans="1:1" x14ac:dyDescent="0.25">
      <c r="A197" s="4" t="str">
        <f>IF(M1=0,"","@N0_1_"&amp;E28&amp;" == (GRN C0 S'grin"&amp;E28&amp;"' W10)")</f>
        <v>@N0_1_1 == (GRN C0 S'grin1' W10)</v>
      </c>
    </row>
    <row r="198" spans="1:1" x14ac:dyDescent="0.25">
      <c r="A198" s="4" t="str">
        <f>"@N01_10_"&amp;E28&amp;" == (GRN C01 S'grin"&amp;E28&amp;"' W1)"</f>
        <v>@N01_10_1 == (GRN C01 S'grin1' W1)</v>
      </c>
    </row>
    <row r="199" spans="1:1" x14ac:dyDescent="0.25">
      <c r="A199" s="4" t="str">
        <f>"@N01_9_"&amp;E28&amp;" == (GRN C01 S'grin"&amp;E28&amp;"' W2)"</f>
        <v>@N01_9_1 == (GRN C01 S'grin1' W2)</v>
      </c>
    </row>
    <row r="200" spans="1:1" x14ac:dyDescent="0.25">
      <c r="A200" s="4" t="str">
        <f>"@N01_8_"&amp;E28&amp;" == (GRN C01 S'grin"&amp;E28&amp;"' W3)"</f>
        <v>@N01_8_1 == (GRN C01 S'grin1' W3)</v>
      </c>
    </row>
    <row r="201" spans="1:1" x14ac:dyDescent="0.25">
      <c r="A201" s="4" t="str">
        <f>IF(G1=0,"","@N01_7_"&amp;E28&amp;" == (GRN C01 S'grin"&amp;E28&amp;"' W4)")</f>
        <v>@N01_7_1 == (GRN C01 S'grin1' W4)</v>
      </c>
    </row>
    <row r="202" spans="1:1" x14ac:dyDescent="0.25">
      <c r="A202" s="4" t="str">
        <f>IF(H1=0,"","@N01_6_"&amp;E28&amp;" == (GRN C01 S'grin"&amp;E28&amp;"' W5)")</f>
        <v>@N01_6_1 == (GRN C01 S'grin1' W5)</v>
      </c>
    </row>
    <row r="203" spans="1:1" x14ac:dyDescent="0.25">
      <c r="A203" s="4" t="str">
        <f>IF(I1=0,"","@N01_5_"&amp;E28&amp;" == (GRN C01 S'grin"&amp;E28&amp;"' W6)")</f>
        <v>@N01_5_1 == (GRN C01 S'grin1' W6)</v>
      </c>
    </row>
    <row r="204" spans="1:1" x14ac:dyDescent="0.25">
      <c r="A204" s="4" t="str">
        <f>IF(J1=0,"","@N01_4_"&amp;E28&amp;" == (GRN C01 S'grin"&amp;E28&amp;"' W7)")</f>
        <v>@N01_4_1 == (GRN C01 S'grin1' W7)</v>
      </c>
    </row>
    <row r="205" spans="1:1" x14ac:dyDescent="0.25">
      <c r="A205" s="4" t="str">
        <f>IF(K1=0,"","@N01_3_"&amp;E28&amp;" == (GRN C01 S'grin"&amp;E28&amp;"' W8)")</f>
        <v>@N01_3_1 == (GRN C01 S'grin1' W8)</v>
      </c>
    </row>
    <row r="206" spans="1:1" x14ac:dyDescent="0.25">
      <c r="A206" s="4" t="str">
        <f>IF(L1=0,"","@N01_2_"&amp;E28&amp;" == (GRN C01 S'grin"&amp;E28&amp;"' W9)")</f>
        <v>@N01_2_1 == (GRN C01 S'grin1' W9)</v>
      </c>
    </row>
    <row r="207" spans="1:1" x14ac:dyDescent="0.25">
      <c r="A207" s="4" t="str">
        <f>IF(M1=0,"","@N01_1_"&amp;E28&amp;" == (GRN C01 S'grin"&amp;E28&amp;"' W10)")</f>
        <v>@N01_1_1 == (GRN C01 S'grin1' W10)</v>
      </c>
    </row>
    <row r="208" spans="1:1" x14ac:dyDescent="0.25">
      <c r="A208" s="4" t="str">
        <f>"@N02_10_"&amp;E28&amp;" == (GRN C02 S'grin"&amp;E28&amp;"' W1)"</f>
        <v>@N02_10_1 == (GRN C02 S'grin1' W1)</v>
      </c>
    </row>
    <row r="209" spans="1:1" x14ac:dyDescent="0.25">
      <c r="A209" s="4" t="str">
        <f>"@N02_9_"&amp;E28&amp;" == (GRN C02 S'grin"&amp;E28&amp;"' W2)"</f>
        <v>@N02_9_1 == (GRN C02 S'grin1' W2)</v>
      </c>
    </row>
    <row r="210" spans="1:1" x14ac:dyDescent="0.25">
      <c r="A210" s="4" t="str">
        <f>"@N02_8_"&amp;E28&amp;" == (GRN C02 S'grin"&amp;E28&amp;"' W3)"</f>
        <v>@N02_8_1 == (GRN C02 S'grin1' W3)</v>
      </c>
    </row>
    <row r="211" spans="1:1" x14ac:dyDescent="0.25">
      <c r="A211" s="4" t="str">
        <f>IF(G1=0,"","@N02_7_"&amp;E28&amp;" == (GRN C02 S'grin"&amp;E28&amp;"' W4)")</f>
        <v>@N02_7_1 == (GRN C02 S'grin1' W4)</v>
      </c>
    </row>
    <row r="212" spans="1:1" x14ac:dyDescent="0.25">
      <c r="A212" s="4" t="str">
        <f>IF(H1=0,"","@N02_6_"&amp;E28&amp;" == (GRN C02 S'grin"&amp;E28&amp;"' W5)")</f>
        <v>@N02_6_1 == (GRN C02 S'grin1' W5)</v>
      </c>
    </row>
    <row r="213" spans="1:1" x14ac:dyDescent="0.25">
      <c r="A213" s="4" t="str">
        <f>IF(I1=0,"","@N02_5_"&amp;E28&amp;" == (GRN C02 S'grin"&amp;E28&amp;"' W6)")</f>
        <v>@N02_5_1 == (GRN C02 S'grin1' W6)</v>
      </c>
    </row>
    <row r="214" spans="1:1" x14ac:dyDescent="0.25">
      <c r="A214" s="4" t="str">
        <f>IF(J1=0,"","@N02_4_"&amp;E28&amp;" == (GRN C02 S'grin"&amp;E28&amp;"' W7)")</f>
        <v>@N02_4_1 == (GRN C02 S'grin1' W7)</v>
      </c>
    </row>
    <row r="215" spans="1:1" x14ac:dyDescent="0.25">
      <c r="A215" s="4" t="str">
        <f>IF(K1=0,"","@N02_3_"&amp;E28&amp;" == (GRN C02 S'grin"&amp;E28&amp;"' W8)")</f>
        <v>@N02_3_1 == (GRN C02 S'grin1' W8)</v>
      </c>
    </row>
    <row r="216" spans="1:1" x14ac:dyDescent="0.25">
      <c r="A216" s="4" t="str">
        <f>IF(L1=0,"","@N02_2_"&amp;E28&amp;" == (GRN C02 S'grin"&amp;E28&amp;"' W9)")</f>
        <v>@N02_2_1 == (GRN C02 S'grin1' W9)</v>
      </c>
    </row>
    <row r="217" spans="1:1" x14ac:dyDescent="0.25">
      <c r="A217" s="4" t="str">
        <f>IF(M1=0,"","@N02_1_"&amp;E28&amp;" == (GRN C02 S'grin"&amp;E28&amp;"' W10)")</f>
        <v>@N02_1_1 == (GRN C02 S'grin1' W10)</v>
      </c>
    </row>
    <row r="218" spans="1:1" x14ac:dyDescent="0.25">
      <c r="A218" s="4"/>
    </row>
    <row r="219" spans="1:1" x14ac:dyDescent="0.25">
      <c r="A219" s="4" t="str">
        <f>"! Define range of z-values for the GRIN region"</f>
        <v>! Define range of z-values for the GRIN region</v>
      </c>
    </row>
    <row r="220" spans="1:1" x14ac:dyDescent="0.25">
      <c r="A220" s="4" t="str">
        <f>"@zmin_"&amp;E28&amp;" == 0"</f>
        <v>@zmin_1 == 0</v>
      </c>
    </row>
    <row r="221" spans="1:1" x14ac:dyDescent="0.25">
      <c r="A221" s="4" t="str">
        <f>"@zmax_"&amp;E28&amp;" == MAXF((CT S'grin"&amp;E28&amp;"'),(ET S'grin"&amp;E28&amp;"'))"</f>
        <v>@zmax_1 == MAXF((CT S'grin1'),(ET S'grin1'))</v>
      </c>
    </row>
    <row r="222" spans="1:1" x14ac:dyDescent="0.25">
      <c r="A222" s="4"/>
    </row>
    <row r="223" spans="1:1" x14ac:dyDescent="0.25">
      <c r="A223" s="4" t="str">
        <f>"! Define index difference between homogeneous material and GRIN at interface"</f>
        <v>! Define index difference between homogeneous material and GRIN at interface</v>
      </c>
    </row>
    <row r="224" spans="1:1" x14ac:dyDescent="0.25">
      <c r="A224" s="4" t="str">
        <f>"@Nh_10_"&amp;E28&amp;" == (GRN C0 S'homo"&amp;E28&amp;"' W1)-(GRN C0 S'grin"&amp;E28&amp;"' W1)"</f>
        <v>@Nh_10_1 == (GRN C0 S'homo1' W1)-(GRN C0 S'grin1' W1)</v>
      </c>
    </row>
    <row r="225" spans="1:1" x14ac:dyDescent="0.25">
      <c r="A225" s="4" t="str">
        <f>"@Nh_9_"&amp;E28&amp;" == (GRN C0 S'homo"&amp;E28&amp;"' W2)-(GRN C0 S'grin"&amp;E28&amp;"' W2)"</f>
        <v>@Nh_9_1 == (GRN C0 S'homo1' W2)-(GRN C0 S'grin1' W2)</v>
      </c>
    </row>
    <row r="226" spans="1:1" x14ac:dyDescent="0.25">
      <c r="A226" s="4" t="str">
        <f>"@Nh_8_"&amp;E28&amp;" == (GRN C0 S'homo"&amp;E28&amp;"' W3)-(GRN C0 S'grin"&amp;E28&amp;"' W3)"</f>
        <v>@Nh_8_1 == (GRN C0 S'homo1' W3)-(GRN C0 S'grin1' W3)</v>
      </c>
    </row>
    <row r="227" spans="1:1" x14ac:dyDescent="0.25">
      <c r="A227" s="4" t="str">
        <f>IF(G1=0,"","@Nh_7_"&amp;E28&amp;" == (GRN C0 S'homo"&amp;E28&amp;"' W4)-(GRN C0 S'grin"&amp;E28&amp;"' W4)")</f>
        <v>@Nh_7_1 == (GRN C0 S'homo1' W4)-(GRN C0 S'grin1' W4)</v>
      </c>
    </row>
    <row r="228" spans="1:1" x14ac:dyDescent="0.25">
      <c r="A228" s="4" t="str">
        <f>IF(H1=0,"","@Nh_6_"&amp;E28&amp;" == (GRN C0 S'homo"&amp;E28&amp;"' W5)-(GRN C0 S'grin"&amp;E28&amp;"' W5)")</f>
        <v>@Nh_6_1 == (GRN C0 S'homo1' W5)-(GRN C0 S'grin1' W5)</v>
      </c>
    </row>
    <row r="229" spans="1:1" x14ac:dyDescent="0.25">
      <c r="A229" s="4" t="str">
        <f>IF(I1=0,"","@Nh_5_"&amp;E28&amp;" == (GRN C0 S'homo"&amp;E28&amp;"' W6)-(GRN C0 S'grin"&amp;E28&amp;"' W6)")</f>
        <v>@Nh_5_1 == (GRN C0 S'homo1' W6)-(GRN C0 S'grin1' W6)</v>
      </c>
    </row>
    <row r="230" spans="1:1" x14ac:dyDescent="0.25">
      <c r="A230" s="4" t="str">
        <f>IF(J1=0,"","@Nh_4_"&amp;E28&amp;" == (GRN C0 S'homo"&amp;E28&amp;"' W7)-(GRN C0 S'grin"&amp;E28&amp;"' W7)")</f>
        <v>@Nh_4_1 == (GRN C0 S'homo1' W7)-(GRN C0 S'grin1' W7)</v>
      </c>
    </row>
    <row r="231" spans="1:1" x14ac:dyDescent="0.25">
      <c r="A231" s="4" t="str">
        <f>IF(K1=0,"","@Nh_3_"&amp;E28&amp;" == (GRN C0 S'homo"&amp;E28&amp;"' W8)-(GRN C0 S'grin"&amp;E28&amp;"' W8)")</f>
        <v>@Nh_3_1 == (GRN C0 S'homo1' W8)-(GRN C0 S'grin1' W8)</v>
      </c>
    </row>
    <row r="232" spans="1:1" x14ac:dyDescent="0.25">
      <c r="A232" s="4" t="str">
        <f>IF(L1=0,"","@Nh_2_"&amp;E28&amp;" == (GRN C0 S'homo"&amp;E28&amp;"' W9)-(GRN C0 S'grin"&amp;E28&amp;"' W9)")</f>
        <v>@Nh_2_1 == (GRN C0 S'homo1' W9)-(GRN C0 S'grin1' W9)</v>
      </c>
    </row>
    <row r="233" spans="1:1" x14ac:dyDescent="0.25">
      <c r="A233" s="4" t="str">
        <f>IF(M1=0,"","@Nh_1_"&amp;E28&amp;" == (GRN C0 S'homo"&amp;E28&amp;"' W10)-(GRN C0 S'grin"&amp;E28&amp;"' W10)")</f>
        <v>@Nh_1_1 == (GRN C0 S'homo1' W10)-(GRN C0 S'grin1' W10)</v>
      </c>
    </row>
    <row r="234" spans="1:1" x14ac:dyDescent="0.25">
      <c r="A234" s="4"/>
    </row>
    <row r="235" spans="1:1" x14ac:dyDescent="0.25">
      <c r="A235" s="4" t="str">
        <f>"! Define GRIN profile values based on the profile at reference wavelength"</f>
        <v>! Define GRIN profile values based on the profile at reference wavelength</v>
      </c>
    </row>
    <row r="236" spans="1:1" x14ac:dyDescent="0.25">
      <c r="A236" s="4" t="str">
        <f>"@dN0_9_"&amp;E28&amp;" == "&amp;E2&amp;"*((@N0_10_"&amp;E28&amp;")-("&amp;D3&amp;"))/"&amp;D2&amp;"+"&amp;E3&amp;"-(@N0_9_"&amp;E28&amp;")"</f>
        <v>@dN0_9_1 == 0.00937178936742966*((@N0_10_1)-(1.64765885294883))/0.00867139062187694+1.69579026052191-(@N0_9_1)</v>
      </c>
    </row>
    <row r="237" spans="1:1" x14ac:dyDescent="0.25">
      <c r="A237" s="4" t="str">
        <f>"@dN0_8_"&amp;E28&amp;" == "&amp;F2&amp;"*((@N0_10_"&amp;E28&amp;")-("&amp;D3&amp;"))/"&amp;D2&amp;"+"&amp;F3&amp;"-(@N0_8_"&amp;E28&amp;")"</f>
        <v>@dN0_8_1 == 0.0096715345488223*((@N0_10_1)-(1.64765885294883))/0.00867139062187694+1.73015757234135-(@N0_8_1)</v>
      </c>
    </row>
    <row r="238" spans="1:1" x14ac:dyDescent="0.25">
      <c r="A238" s="4" t="str">
        <f>IF(G1=0,"","@dN0_7_"&amp;E28&amp;" == "&amp;G2&amp;"*((@N0_10_"&amp;E28&amp;")-("&amp;D3&amp;"))/"&amp;D2&amp;"+"&amp;G3&amp;"-(@N0_7_"&amp;E28&amp;")")</f>
        <v>@dN0_7_1 == 0.00974312442539182*((@N0_10_1)-(1.64765885294883))/0.00867139062187694+1.74314973962494-(@N0_7_1)</v>
      </c>
    </row>
    <row r="239" spans="1:1" x14ac:dyDescent="0.25">
      <c r="A239" s="4" t="str">
        <f>IF(H1=0,"","@dN0_6_"&amp;E28&amp;" == "&amp;H2&amp;"*((@N0_10_"&amp;E28&amp;")-("&amp;D3&amp;"))/"&amp;D2&amp;"+"&amp;H3&amp;"-(@N0_6_"&amp;E28&amp;")")</f>
        <v>@dN0_6_1 == 0.00978716573772243*((@N0_10_1)-(1.64765885294883))/0.00867139062187694+1.7538235537892-(@N0_6_1)</v>
      </c>
    </row>
    <row r="240" spans="1:1" x14ac:dyDescent="0.25">
      <c r="A240" s="4" t="str">
        <f>IF(I1=0,"","@dN0_5_"&amp;E28&amp;" == "&amp;I2&amp;"*((@N0_10_"&amp;E28&amp;")-("&amp;D3&amp;"))/"&amp;D2&amp;"+"&amp;I3&amp;"-(@N0_5_"&amp;E28&amp;")")</f>
        <v>@dN0_5_1 == 0.00981909315904073*((@N0_10_1)-(1.64765885294883))/0.00867139062187694+1.76275305044399-(@N0_5_1)</v>
      </c>
    </row>
    <row r="241" spans="1:1" x14ac:dyDescent="0.25">
      <c r="A241" s="4" t="str">
        <f>IF(J1=0,"","@dN0_4_"&amp;E28&amp;" == "&amp;J2&amp;"*((@N0_10_"&amp;E28&amp;")-("&amp;D3&amp;"))/"&amp;D2&amp;"+"&amp;J3&amp;"-(@N0_4_"&amp;E28&amp;")")</f>
        <v>@dN0_4_1 == 0.00986342134059104*((@N0_10_1)-(1.64765885294883))/0.00867139062187694+1.7717149873205-(@N0_4_1)</v>
      </c>
    </row>
    <row r="242" spans="1:1" x14ac:dyDescent="0.25">
      <c r="A242" s="4" t="str">
        <f>IF(K1=0,"","@dN0_3_"&amp;E28&amp;" == "&amp;K2&amp;"*((@N0_10_"&amp;E28&amp;")-("&amp;D3&amp;"))/"&amp;D2&amp;"+"&amp;K3&amp;"-(@N0_3_"&amp;E28&amp;")")</f>
        <v>@dN0_3_1 == 0.00995194299290092*((@N0_10_1)-(1.64765885294883))/0.00867139062187694+1.78275992427557-(@N0_3_1)</v>
      </c>
    </row>
    <row r="243" spans="1:1" x14ac:dyDescent="0.25">
      <c r="A243" s="4" t="str">
        <f>IF(L1=0,"","@dN0_2_"&amp;E28&amp;" == "&amp;L2&amp;"*((@N0_10_"&amp;E28&amp;")-("&amp;D3&amp;"))/"&amp;D2&amp;"+"&amp;L3&amp;"-(@N0_2_"&amp;E28&amp;")")</f>
        <v>@dN0_2_1 == 0.00999032669965838*((@N0_10_1)-(1.64765885294883))/0.00867139062187694+1.78694899815198-(@N0_2_1)</v>
      </c>
    </row>
    <row r="244" spans="1:1" x14ac:dyDescent="0.25">
      <c r="A244" s="4" t="str">
        <f>IF(M1=0,"","@dN0_1_"&amp;E28&amp;" == "&amp;M2&amp;"*((@N0_10_"&amp;E28&amp;")-("&amp;D3&amp;"))/"&amp;D2&amp;"+"&amp;M3&amp;"-(@N0_1_"&amp;E28&amp;")")</f>
        <v>@dN0_1_1 == 0.0100795791899897*((@N0_10_1)-(1.64765885294883))/0.00867139062187694+1.7963640575376-(@N0_1_1)</v>
      </c>
    </row>
    <row r="245" spans="1:1" x14ac:dyDescent="0.25">
      <c r="A245" s="4" t="str">
        <f>"@dN01_9_"&amp;E28&amp;" == ("&amp;E2&amp;"*(@N01_10_"&amp;E28&amp;")/"&amp;D2&amp;"-(@N01_9_"&amp;E28&amp;"))*((@zmax_"&amp;E28&amp;")-(@zmin_"&amp;E28&amp;"))"</f>
        <v>@dN01_9_1 == (0.00937178936742966*(@N01_10_1)/0.00867139062187694-(@N01_9_1))*((@zmax_1)-(@zmin_1))</v>
      </c>
    </row>
    <row r="246" spans="1:1" x14ac:dyDescent="0.25">
      <c r="A246" s="4" t="str">
        <f>"@dN01_8_"&amp;E28&amp;" == ("&amp;F2&amp;"*(@N01_10_"&amp;E28&amp;")/"&amp;D2&amp;"-(@N01_8_"&amp;E28&amp;"))*((@zmax_"&amp;E28&amp;")-(@zmin_"&amp;E28&amp;"))"</f>
        <v>@dN01_8_1 == (0.0096715345488223*(@N01_10_1)/0.00867139062187694-(@N01_8_1))*((@zmax_1)-(@zmin_1))</v>
      </c>
    </row>
    <row r="247" spans="1:1" x14ac:dyDescent="0.25">
      <c r="A247" s="4" t="str">
        <f>IF(G1=0,"","@dN01_7_"&amp;E28&amp;" == ("&amp;G2&amp;"*(@N01_10_"&amp;E28&amp;")/"&amp;D2&amp;"-(@N01_7_"&amp;E28&amp;"))*((@zmax_"&amp;E28&amp;")-(@zmin_"&amp;E28&amp;"))")</f>
        <v>@dN01_7_1 == (0.00974312442539182*(@N01_10_1)/0.00867139062187694-(@N01_7_1))*((@zmax_1)-(@zmin_1))</v>
      </c>
    </row>
    <row r="248" spans="1:1" x14ac:dyDescent="0.25">
      <c r="A248" s="4" t="str">
        <f>IF(H1=0,"","@dN01_6_"&amp;E28&amp;" == ("&amp;H2&amp;"*(@N01_10_"&amp;E28&amp;")/"&amp;D2&amp;"-(@N01_6_"&amp;E28&amp;"))*((@zmax_"&amp;E28&amp;")-(@zmin_"&amp;E28&amp;"))")</f>
        <v>@dN01_6_1 == (0.00978716573772243*(@N01_10_1)/0.00867139062187694-(@N01_6_1))*((@zmax_1)-(@zmin_1))</v>
      </c>
    </row>
    <row r="249" spans="1:1" x14ac:dyDescent="0.25">
      <c r="A249" s="4" t="str">
        <f>IF(I1=0,"","@dN01_5_"&amp;E28&amp;" == ("&amp;I2&amp;"*(@N01_10_"&amp;E28&amp;")/"&amp;D2&amp;"-(@N01_5_"&amp;E28&amp;"))*((@zmax_"&amp;E28&amp;")-(@zmin_"&amp;E28&amp;"))")</f>
        <v>@dN01_5_1 == (0.00981909315904073*(@N01_10_1)/0.00867139062187694-(@N01_5_1))*((@zmax_1)-(@zmin_1))</v>
      </c>
    </row>
    <row r="250" spans="1:1" x14ac:dyDescent="0.25">
      <c r="A250" s="4" t="str">
        <f>IF(J1=0,"","@dN01_4_"&amp;E28&amp;" == ("&amp;J2&amp;"*(@N01_10_"&amp;E28&amp;")/"&amp;D2&amp;"-(@N01_4_"&amp;E28&amp;"))*((@zmax_"&amp;E28&amp;")-(@zmin_"&amp;E28&amp;"))")</f>
        <v>@dN01_4_1 == (0.00986342134059104*(@N01_10_1)/0.00867139062187694-(@N01_4_1))*((@zmax_1)-(@zmin_1))</v>
      </c>
    </row>
    <row r="251" spans="1:1" x14ac:dyDescent="0.25">
      <c r="A251" s="4" t="str">
        <f>IF(K1=0,"","@dN01_3_"&amp;E28&amp;" == ("&amp;K2&amp;"*(@N01_10_"&amp;E28&amp;")/"&amp;D2&amp;"-(@N01_3_"&amp;E28&amp;"))*((@zmax_"&amp;E28&amp;")-(@zmin_"&amp;E28&amp;"))")</f>
        <v>@dN01_3_1 == (0.00995194299290092*(@N01_10_1)/0.00867139062187694-(@N01_3_1))*((@zmax_1)-(@zmin_1))</v>
      </c>
    </row>
    <row r="252" spans="1:1" x14ac:dyDescent="0.25">
      <c r="A252" s="4" t="str">
        <f>IF(L1=0,"","@dN01_2_"&amp;E28&amp;" == ("&amp;L2&amp;"*(@N01_10_"&amp;E28&amp;")/"&amp;D2&amp;"-(@N01_2_"&amp;E28&amp;"))*((@zmax_"&amp;E28&amp;")-(@zmin_"&amp;E28&amp;"))")</f>
        <v>@dN01_2_1 == (0.00999032669965838*(@N01_10_1)/0.00867139062187694-(@N01_2_1))*((@zmax_1)-(@zmin_1))</v>
      </c>
    </row>
    <row r="253" spans="1:1" x14ac:dyDescent="0.25">
      <c r="A253" s="4" t="str">
        <f>IF(M1=0,"","@dN01_1_"&amp;E28&amp;" == ("&amp;M2&amp;"*(@N01_10_"&amp;E28&amp;")/"&amp;D2&amp;"-(@N01_1_"&amp;E28&amp;"))*((@zmax_"&amp;E28&amp;")-(@zmin_"&amp;E28&amp;"))")</f>
        <v>@dN01_1_1 == (0.0100795791899897*(@N01_10_1)/0.00867139062187694-(@N01_1_1))*((@zmax_1)-(@zmin_1))</v>
      </c>
    </row>
    <row r="254" spans="1:1" x14ac:dyDescent="0.25">
      <c r="A254" s="4" t="str">
        <f>"@dN02_9_"&amp;E28&amp;" == ("&amp;E2&amp;"*(@N02_10_"&amp;E28&amp;")/"&amp;D2&amp;"-(@N02_9_"&amp;E28&amp;"))*((@zmax_"&amp;E28&amp;")-(@zmin_"&amp;E28&amp;"))**2"</f>
        <v>@dN02_9_1 == (0.00937178936742966*(@N02_10_1)/0.00867139062187694-(@N02_9_1))*((@zmax_1)-(@zmin_1))**2</v>
      </c>
    </row>
    <row r="255" spans="1:1" x14ac:dyDescent="0.25">
      <c r="A255" s="4" t="str">
        <f>"@dN02_8_"&amp;E28&amp;" == ("&amp;F2&amp;"*(@N02_10_"&amp;E28&amp;")/"&amp;D2&amp;"-(@N02_8_"&amp;E28&amp;"))*((@zmax_"&amp;E28&amp;")-(@zmin_"&amp;E28&amp;"))**2"</f>
        <v>@dN02_8_1 == (0.0096715345488223*(@N02_10_1)/0.00867139062187694-(@N02_8_1))*((@zmax_1)-(@zmin_1))**2</v>
      </c>
    </row>
    <row r="256" spans="1:1" x14ac:dyDescent="0.25">
      <c r="A256" s="4" t="str">
        <f>IF(G1=0,"","@dN02_7_"&amp;E28&amp;" == ("&amp;G2&amp;"*(@N02_10_"&amp;E28&amp;")/"&amp;D2&amp;"-(@N02_7_"&amp;E28&amp;"))*((@zmax_"&amp;E28&amp;")-(@zmin_"&amp;E28&amp;"))**2")</f>
        <v>@dN02_7_1 == (0.00974312442539182*(@N02_10_1)/0.00867139062187694-(@N02_7_1))*((@zmax_1)-(@zmin_1))**2</v>
      </c>
    </row>
    <row r="257" spans="1:1" x14ac:dyDescent="0.25">
      <c r="A257" s="4" t="str">
        <f>IF(H1=0,"","@dN02_6_"&amp;E28&amp;" == ("&amp;H2&amp;"*(@N02_10_"&amp;E28&amp;")/"&amp;D2&amp;"-(@N02_6_"&amp;E28&amp;"))*((@zmax_"&amp;E28&amp;")-(@zmin_"&amp;E28&amp;"))**2")</f>
        <v>@dN02_6_1 == (0.00978716573772243*(@N02_10_1)/0.00867139062187694-(@N02_6_1))*((@zmax_1)-(@zmin_1))**2</v>
      </c>
    </row>
    <row r="258" spans="1:1" x14ac:dyDescent="0.25">
      <c r="A258" s="4" t="str">
        <f>IF(I1=0,"","@dN02_5_"&amp;E28&amp;" == ("&amp;I2&amp;"*(@N02_10_"&amp;E28&amp;")/"&amp;D2&amp;"-(@N02_5_"&amp;E28&amp;"))*((@zmax_"&amp;E28&amp;")-(@zmin_"&amp;E28&amp;"))**2")</f>
        <v>@dN02_5_1 == (0.00981909315904073*(@N02_10_1)/0.00867139062187694-(@N02_5_1))*((@zmax_1)-(@zmin_1))**2</v>
      </c>
    </row>
    <row r="259" spans="1:1" x14ac:dyDescent="0.25">
      <c r="A259" s="4" t="str">
        <f>IF(J1=0,"","@dN02_4_"&amp;E28&amp;" == ("&amp;J2&amp;"*(@N02_10_"&amp;E28&amp;")/"&amp;D2&amp;"-(@N02_4_"&amp;E28&amp;"))*((@zmax_"&amp;E28&amp;")-(@zmin_"&amp;E28&amp;"))**2")</f>
        <v>@dN02_4_1 == (0.00986342134059104*(@N02_10_1)/0.00867139062187694-(@N02_4_1))*((@zmax_1)-(@zmin_1))**2</v>
      </c>
    </row>
    <row r="260" spans="1:1" x14ac:dyDescent="0.25">
      <c r="A260" s="4" t="str">
        <f>IF(K1=0,"","@dN02_3_"&amp;E28&amp;" == ("&amp;K2&amp;"*(@N02_10_"&amp;E28&amp;")/"&amp;D2&amp;"-(@N02_3_"&amp;E28&amp;"))*((@zmax_"&amp;E28&amp;")-(@zmin_"&amp;E28&amp;"))**2")</f>
        <v>@dN02_3_1 == (0.00995194299290092*(@N02_10_1)/0.00867139062187694-(@N02_3_1))*((@zmax_1)-(@zmin_1))**2</v>
      </c>
    </row>
    <row r="261" spans="1:1" x14ac:dyDescent="0.25">
      <c r="A261" s="4" t="str">
        <f>IF(L1=0,"","@dN02_2_"&amp;E28&amp;" == ("&amp;L2&amp;"*(@N02_10_"&amp;E28&amp;")/"&amp;D2&amp;"-(@N02_2_"&amp;E28&amp;"))*((@zmax_"&amp;E28&amp;")-(@zmin_"&amp;E28&amp;"))**2")</f>
        <v>@dN02_2_1 == (0.00999032669965838*(@N02_10_1)/0.00867139062187694-(@N02_2_1))*((@zmax_1)-(@zmin_1))**2</v>
      </c>
    </row>
    <row r="262" spans="1:1" x14ac:dyDescent="0.25">
      <c r="A262" s="4" t="str">
        <f>IF(M1=0,"","@dN02_1_"&amp;E28&amp;" == ("&amp;M2&amp;"*(@N02_10_"&amp;E28&amp;")/"&amp;D2&amp;"-(@N02_1_"&amp;E28&amp;"))*((@zmax_"&amp;E28&amp;")-(@zmin_"&amp;E28&amp;"))**2")</f>
        <v>@dN02_1_1 == (0.0100795791899897*(@N02_10_1)/0.00867139062187694-(@N02_1_1))*((@zmax_1)-(@zmin_1))**2</v>
      </c>
    </row>
    <row r="263" spans="1:1" x14ac:dyDescent="0.25">
      <c r="A263" s="4"/>
    </row>
    <row r="264" spans="1:1" x14ac:dyDescent="0.25">
      <c r="A264" s="4" t="str">
        <f>"! Constrain GRIN profile at other wavelengths"</f>
        <v>! Constrain GRIN profile at other wavelengths</v>
      </c>
    </row>
    <row r="265" spans="1:1" x14ac:dyDescent="0.25">
      <c r="A265" s="4" t="str">
        <f>IF(C17="yes","@dN0_9_"&amp;E28&amp;" = 0","")</f>
        <v>@dN0_9_1 = 0</v>
      </c>
    </row>
    <row r="266" spans="1:1" x14ac:dyDescent="0.25">
      <c r="A266" s="4" t="str">
        <f>IF(C17="yes","@dN0_8_"&amp;E28&amp;" = 0","")</f>
        <v>@dN0_8_1 = 0</v>
      </c>
    </row>
    <row r="267" spans="1:1" x14ac:dyDescent="0.25">
      <c r="A267" s="4" t="str">
        <f>IF(C17="yes",IF(G1=0,"","@dN0_7_"&amp;E28&amp;" = 0"),"")</f>
        <v>@dN0_7_1 = 0</v>
      </c>
    </row>
    <row r="268" spans="1:1" x14ac:dyDescent="0.25">
      <c r="A268" s="4" t="str">
        <f>IF(C17="yes",IF(H1=0,"","@dN0_6_"&amp;E28&amp;" = 0"),"")</f>
        <v>@dN0_6_1 = 0</v>
      </c>
    </row>
    <row r="269" spans="1:1" x14ac:dyDescent="0.25">
      <c r="A269" s="4" t="str">
        <f>IF(C17="yes",IF(I1=0,"","@dN0_5_"&amp;E28&amp;" = 0"),"")</f>
        <v>@dN0_5_1 = 0</v>
      </c>
    </row>
    <row r="270" spans="1:1" x14ac:dyDescent="0.25">
      <c r="A270" s="4" t="str">
        <f>IF(C17="yes",IF(J1=0,"","@dN0_4_"&amp;E28&amp;" = 0"),"")</f>
        <v>@dN0_4_1 = 0</v>
      </c>
    </row>
    <row r="271" spans="1:1" x14ac:dyDescent="0.25">
      <c r="A271" s="4" t="str">
        <f>IF(C17="yes",IF(K1=0,"","@dN0_3_"&amp;E28&amp;" = 0"),"")</f>
        <v>@dN0_3_1 = 0</v>
      </c>
    </row>
    <row r="272" spans="1:1" x14ac:dyDescent="0.25">
      <c r="A272" s="4" t="str">
        <f>IF(C17="yes",IF(L1=0,"","@dN0_2_"&amp;E28&amp;" = 0"),"")</f>
        <v>@dN0_2_1 = 0</v>
      </c>
    </row>
    <row r="273" spans="1:1" x14ac:dyDescent="0.25">
      <c r="A273" s="4" t="str">
        <f>IF(C17="yes",IF(M1=0,"","@dN0_1_"&amp;E28&amp;" = 0"),"")</f>
        <v>@dN0_1_1 = 0</v>
      </c>
    </row>
    <row r="274" spans="1:1" x14ac:dyDescent="0.25">
      <c r="A274" s="4" t="str">
        <f>IF(C18="yes","@dN01_9_"&amp;E28&amp;" = 0","")</f>
        <v>@dN01_9_1 = 0</v>
      </c>
    </row>
    <row r="275" spans="1:1" x14ac:dyDescent="0.25">
      <c r="A275" s="4" t="str">
        <f>IF(C18="yes","@dN01_8_"&amp;E28&amp;" = 0","")</f>
        <v>@dN01_8_1 = 0</v>
      </c>
    </row>
    <row r="276" spans="1:1" x14ac:dyDescent="0.25">
      <c r="A276" s="4" t="str">
        <f>IF(C18="yes",IF(G1=0,"","@dN01_7_"&amp;E28&amp;" = 0"),"")</f>
        <v>@dN01_7_1 = 0</v>
      </c>
    </row>
    <row r="277" spans="1:1" x14ac:dyDescent="0.25">
      <c r="A277" s="4" t="str">
        <f>IF(C18="yes",IF(H1=0,"","@dN01_6_"&amp;E28&amp;" = 0"),"")</f>
        <v>@dN01_6_1 = 0</v>
      </c>
    </row>
    <row r="278" spans="1:1" x14ac:dyDescent="0.25">
      <c r="A278" s="4" t="str">
        <f>IF(C18="yes",IF(I1=0,"","@dN01_5_"&amp;E28&amp;" = 0"),"")</f>
        <v>@dN01_5_1 = 0</v>
      </c>
    </row>
    <row r="279" spans="1:1" x14ac:dyDescent="0.25">
      <c r="A279" s="4" t="str">
        <f>IF(C18="yes",IF(J1=0,"","@dN01_4_"&amp;E28&amp;" = 0"),"")</f>
        <v>@dN01_4_1 = 0</v>
      </c>
    </row>
    <row r="280" spans="1:1" x14ac:dyDescent="0.25">
      <c r="A280" s="4" t="str">
        <f>IF(C18="yes",IF(K1=0,"","@dN01_3_"&amp;E28&amp;" = 0"),"")</f>
        <v>@dN01_3_1 = 0</v>
      </c>
    </row>
    <row r="281" spans="1:1" x14ac:dyDescent="0.25">
      <c r="A281" s="4" t="str">
        <f>IF(C18="yes",IF(L1=0,"","@dN01_2_"&amp;E28&amp;" = 0"),"")</f>
        <v>@dN01_2_1 = 0</v>
      </c>
    </row>
    <row r="282" spans="1:1" x14ac:dyDescent="0.25">
      <c r="A282" s="4" t="str">
        <f>IF(C18="yes",IF(M1=0,"","@dN01_1_"&amp;E28&amp;" = 0"),"")</f>
        <v>@dN01_1_1 = 0</v>
      </c>
    </row>
    <row r="283" spans="1:1" x14ac:dyDescent="0.25">
      <c r="A283" s="4" t="str">
        <f>IF(C19="yes","@dN02_9_"&amp;E28&amp;" = 0","")</f>
        <v>@dN02_9_1 = 0</v>
      </c>
    </row>
    <row r="284" spans="1:1" x14ac:dyDescent="0.25">
      <c r="A284" s="4" t="str">
        <f>IF(C19="yes","@dN02_8_"&amp;E28&amp;" = 0","")</f>
        <v>@dN02_8_1 = 0</v>
      </c>
    </row>
    <row r="285" spans="1:1" x14ac:dyDescent="0.25">
      <c r="A285" s="4" t="str">
        <f>IF(C19="yes",IF(G1=0,"","@dN02_7_"&amp;E28&amp;" = 0"),"")</f>
        <v>@dN02_7_1 = 0</v>
      </c>
    </row>
    <row r="286" spans="1:1" x14ac:dyDescent="0.25">
      <c r="A286" s="4" t="str">
        <f>IF(C19="yes",IF(H1=0,"","@dN02_6_"&amp;E28&amp;" = 0"),"")</f>
        <v>@dN02_6_1 = 0</v>
      </c>
    </row>
    <row r="287" spans="1:1" x14ac:dyDescent="0.25">
      <c r="A287" s="4" t="str">
        <f>IF(C19="yes",IF(I1=0,"","@dN02_5_"&amp;E28&amp;" = 0"),"")</f>
        <v>@dN02_5_1 = 0</v>
      </c>
    </row>
    <row r="288" spans="1:1" x14ac:dyDescent="0.25">
      <c r="A288" s="4" t="str">
        <f>IF(C19="yes",IF(J1=0,"","@dN02_4_"&amp;E28&amp;" = 0"),"")</f>
        <v>@dN02_4_1 = 0</v>
      </c>
    </row>
    <row r="289" spans="1:1" x14ac:dyDescent="0.25">
      <c r="A289" s="4" t="str">
        <f>IF(C19="yes",IF(K1=0,"","@dN02_3_"&amp;E28&amp;" = 0"),"")</f>
        <v>@dN02_3_1 = 0</v>
      </c>
    </row>
    <row r="290" spans="1:1" x14ac:dyDescent="0.25">
      <c r="A290" s="4" t="str">
        <f>IF(C19="yes",IF(L1=0,"","@dN02_2_"&amp;E28&amp;" = 0"),"")</f>
        <v>@dN02_2_1 = 0</v>
      </c>
    </row>
    <row r="291" spans="1:1" x14ac:dyDescent="0.25">
      <c r="A291" s="4" t="str">
        <f>IF(C19="yes",IF(M1=0,"","@dN02_1_"&amp;E28&amp;" = 0"),"")</f>
        <v>@dN02_1_1 = 0</v>
      </c>
    </row>
    <row r="292" spans="1:1" x14ac:dyDescent="0.25">
      <c r="A292" s="4"/>
    </row>
    <row r="293" spans="1:1" x14ac:dyDescent="0.25">
      <c r="A293" s="4" t="str">
        <f>"! Constrain homogeneous material to match the GRIN index at the interface"</f>
        <v>! Constrain homogeneous material to match the GRIN index at the interface</v>
      </c>
    </row>
    <row r="294" spans="1:1" x14ac:dyDescent="0.25">
      <c r="A294" s="4" t="str">
        <f>"@Nh_10_"&amp;E28&amp;" = 0"</f>
        <v>@Nh_10_1 = 0</v>
      </c>
    </row>
    <row r="295" spans="1:1" x14ac:dyDescent="0.25">
      <c r="A295" s="4" t="str">
        <f>"@Nh_9_"&amp;E28&amp;" = 0"</f>
        <v>@Nh_9_1 = 0</v>
      </c>
    </row>
    <row r="296" spans="1:1" x14ac:dyDescent="0.25">
      <c r="A296" s="4" t="str">
        <f>"@Nh_8_"&amp;E28&amp;" = 0"</f>
        <v>@Nh_8_1 = 0</v>
      </c>
    </row>
    <row r="297" spans="1:1" x14ac:dyDescent="0.25">
      <c r="A297" s="4" t="str">
        <f>IF(G1=0,"","@Nh_7_"&amp;E28&amp;" = 0")</f>
        <v>@Nh_7_1 = 0</v>
      </c>
    </row>
    <row r="298" spans="1:1" x14ac:dyDescent="0.25">
      <c r="A298" s="4" t="str">
        <f>IF(H1=0,"","@Nh_6_"&amp;E28&amp;" = 0")</f>
        <v>@Nh_6_1 = 0</v>
      </c>
    </row>
    <row r="299" spans="1:1" x14ac:dyDescent="0.25">
      <c r="A299" s="4" t="str">
        <f>IF(I1=0,"","@Nh_5_"&amp;E28&amp;" = 0")</f>
        <v>@Nh_5_1 = 0</v>
      </c>
    </row>
    <row r="300" spans="1:1" x14ac:dyDescent="0.25">
      <c r="A300" s="4" t="str">
        <f>IF(J1=0,"","@Nh_4_"&amp;E28&amp;" = 0")</f>
        <v>@Nh_4_1 = 0</v>
      </c>
    </row>
    <row r="301" spans="1:1" x14ac:dyDescent="0.25">
      <c r="A301" s="4" t="str">
        <f>IF(K1=0,"","@Nh_3_"&amp;E28&amp;" = 0")</f>
        <v>@Nh_3_1 = 0</v>
      </c>
    </row>
    <row r="302" spans="1:1" x14ac:dyDescent="0.25">
      <c r="A302" s="4" t="str">
        <f>IF(L1=0,"","@Nh_2_"&amp;E28&amp;" = 0")</f>
        <v>@Nh_2_1 = 0</v>
      </c>
    </row>
    <row r="303" spans="1:1" x14ac:dyDescent="0.25">
      <c r="A303" s="4" t="str">
        <f>IF(M1=0,"","@Nh_1_"&amp;E28&amp;" = 0")</f>
        <v>@Nh_1_1 = 0</v>
      </c>
    </row>
    <row r="304" spans="1:1" x14ac:dyDescent="0.25">
      <c r="A304" s="4"/>
    </row>
    <row r="305" spans="1:1" x14ac:dyDescent="0.25">
      <c r="A305" s="4" t="str">
        <f>"! Define maximum and minimum lattice constants"</f>
        <v>! Define maximum and minimum lattice constants</v>
      </c>
    </row>
    <row r="306" spans="1:1" x14ac:dyDescent="0.25">
      <c r="A306" s="4" t="str">
        <f>"@dz_"&amp;E28&amp;" == (@zmax_"&amp;E28&amp;")-(@zmin_"&amp;E28&amp;")"</f>
        <v>@dz_1 == (@zmax_1)-(@zmin_1)</v>
      </c>
    </row>
    <row r="307" spans="1:1" x14ac:dyDescent="0.25">
      <c r="A307" s="4" t="str">
        <f>"@nmax_"&amp;E28&amp;" == MAXF(@index_ur((SLB S'grin"&amp;E28&amp;"'),1,1,1,0,0,@zmin_"&amp;E28&amp;"),MAXF(@index_ur((SLB S'grin"&amp;E28&amp;"'),1,1,1,0,0,@zmin_"&amp;E28&amp;"+0.1*@dz_"&amp;E28&amp;"),MAXF(@index_ur((SLB S'grin"&amp;E28&amp;"'),1,1,1,0,0,@zmin_"&amp;E28&amp;"+0.2*@dz_"&amp;E28&amp;"),MAXF(@index_ur((SLB S'grin"&amp;E28&amp;"'),1,1,1,0,0,@zmin_"&amp;E28&amp;"+0.3*@dz_"&amp;E28&amp;"),MAXF(@index_ur((SLB S'grin"&amp;E28&amp;"'),1,1,1,0,0,@zmin_"&amp;E28&amp;"+0.4*@dz_"&amp;E28&amp;"),MAXF(@index_ur((SLB S'grin"&amp;E28&amp;"'),1,1,1,0,0,@zmin_"&amp;E28&amp;"+0.5*@dz_"&amp;E28&amp;"),MAXF(@index_ur((SLB S'grin"&amp;E28&amp;"'),1,1,1,0,0,@zmin_"&amp;E28&amp;"+0.6*@dz_"&amp;E28&amp;"),MAXF(@index_ur((SLB S'grin"&amp;E28&amp;"'),1,1,1,0,0,@zmin_"&amp;E28&amp;"+0.7*@dz_"&amp;E28&amp;"),MAXF(@index_ur((SLB S'grin"&amp;E28&amp;"'),1,1,1,0,0,@zmin_"&amp;E28&amp;"+0.8*@dz_"&amp;E28&amp;"),MAXF(@index_ur((SLB S'grin"&amp;E28&amp;"'),1,1,1,0,0,@zmin_"&amp;E28&amp;"+0.9*@dz_"&amp;E28&amp;"),@index_ur((SLB S'grin"&amp;E28&amp;"'),1,1,1,0,0,@zmin_"&amp;E28&amp;"+@dz_"&amp;E28&amp;")))))))))))"</f>
        <v>@nmax_1 == MAXF(@index_ur((SLB S'grin1'),1,1,1,0,0,@zmin_1),MAXF(@index_ur((SLB S'grin1'),1,1,1,0,0,@zmin_1+0.1*@dz_1),MAXF(@index_ur((SLB S'grin1'),1,1,1,0,0,@zmin_1+0.2*@dz_1),MAXF(@index_ur((SLB S'grin1'),1,1,1,0,0,@zmin_1+0.3*@dz_1),MAXF(@index_ur((SLB S'grin1'),1,1,1,0,0,@zmin_1+0.4*@dz_1),MAXF(@index_ur((SLB S'grin1'),1,1,1,0,0,@zmin_1+0.5*@dz_1),MAXF(@index_ur((SLB S'grin1'),1,1,1,0,0,@zmin_1+0.6*@dz_1),MAXF(@index_ur((SLB S'grin1'),1,1,1,0,0,@zmin_1+0.7*@dz_1),MAXF(@index_ur((SLB S'grin1'),1,1,1,0,0,@zmin_1+0.8*@dz_1),MAXF(@index_ur((SLB S'grin1'),1,1,1,0,0,@zmin_1+0.9*@dz_1),@index_ur((SLB S'grin1'),1,1,1,0,0,@zmin_1+@dz_1)))))))))))</v>
      </c>
    </row>
    <row r="308" spans="1:1" x14ac:dyDescent="0.25">
      <c r="A308" s="4" t="str">
        <f>"@nmin_"&amp;E28&amp;" == MINF(@index_ur((SLB S'grin"&amp;E28&amp;"'),1,1,1,0,0,@zmin_"&amp;E28&amp;"),MINF(@index_ur((SLB S'grin"&amp;E28&amp;"'),1,1,1,0,0,@zmin_"&amp;E28&amp;"+0.1*@dz_"&amp;E28&amp;"),MINF(@index_ur((SLB S'grin"&amp;E28&amp;"'),1,1,1,0,0,@zmin_"&amp;E28&amp;"+0.2*@dz_"&amp;E28&amp;"),MINF(@index_ur((SLB S'grin"&amp;E28&amp;"'),1,1,1,0,0,@zmin_"&amp;E28&amp;"+0.3*@dz_"&amp;E28&amp;"),MINF(@index_ur((SLB S'grin"&amp;E28&amp;"'),1,1,1,0,0,@zmin_"&amp;E28&amp;"+0.4*@dz_"&amp;E28&amp;"),MINF(@index_ur((SLB S'grin"&amp;E28&amp;"'),1,1,1,0,0,@zmin_"&amp;E28&amp;"+0.5*@dz_"&amp;E28&amp;"),MINF(@index_ur((SLB S'grin"&amp;E28&amp;"'),1,1,1,0,0,@zmin_"&amp;E28&amp;"+0.6*@dz_"&amp;E28&amp;"),MINF(@index_ur((SLB S'grin"&amp;E28&amp;"'),1,1,1,0,0,@zmin_"&amp;E28&amp;"+0.7*@dz_"&amp;E28&amp;"),MINF(@index_ur((SLB S'grin"&amp;E28&amp;"'),1,1,1,0,0,@zmin_"&amp;E28&amp;"+0.8*@dz_"&amp;E28&amp;"),MINF(@index_ur((SLB S'grin"&amp;E28&amp;"'),1,1,1,0,0,@zmin_"&amp;E28&amp;"+0.9*@dz_"&amp;E28&amp;"),@index_ur((SLB S'grin"&amp;E28&amp;"'),1,1,1,0,0,@zmin_"&amp;E28&amp;"+@dz_"&amp;E28&amp;")))))))))))"</f>
        <v>@nmin_1 == MINF(@index_ur((SLB S'grin1'),1,1,1,0,0,@zmin_1),MINF(@index_ur((SLB S'grin1'),1,1,1,0,0,@zmin_1+0.1*@dz_1),MINF(@index_ur((SLB S'grin1'),1,1,1,0,0,@zmin_1+0.2*@dz_1),MINF(@index_ur((SLB S'grin1'),1,1,1,0,0,@zmin_1+0.3*@dz_1),MINF(@index_ur((SLB S'grin1'),1,1,1,0,0,@zmin_1+0.4*@dz_1),MINF(@index_ur((SLB S'grin1'),1,1,1,0,0,@zmin_1+0.5*@dz_1),MINF(@index_ur((SLB S'grin1'),1,1,1,0,0,@zmin_1+0.6*@dz_1),MINF(@index_ur((SLB S'grin1'),1,1,1,0,0,@zmin_1+0.7*@dz_1),MINF(@index_ur((SLB S'grin1'),1,1,1,0,0,@zmin_1+0.8*@dz_1),MINF(@index_ur((SLB S'grin1'),1,1,1,0,0,@zmin_1+0.9*@dz_1),@index_ur((SLB S'grin1'),1,1,1,0,0,@zmin_1+@dz_1)))))))))))</v>
      </c>
    </row>
    <row r="309" spans="1:1" x14ac:dyDescent="0.25">
      <c r="A309" s="4" t="str">
        <f>"@concmax_"&amp;E28&amp;" == ((@nmax_"&amp;E28&amp;")-("&amp;D3&amp;"))/"&amp;D2</f>
        <v>@concmax_1 == ((@nmax_1)-(1.64765885294883))/0.00867139062187694</v>
      </c>
    </row>
    <row r="310" spans="1:1" x14ac:dyDescent="0.25">
      <c r="A310" s="4" t="str">
        <f>"@concmin_"&amp;E28&amp;" == ((@nmin_"&amp;E28&amp;")-("&amp;D3&amp;"))/"&amp;D2</f>
        <v>@concmin_1 == ((@nmin_1)-(1.64765885294883))/0.00867139062187694</v>
      </c>
    </row>
    <row r="311" spans="1:1" x14ac:dyDescent="0.25">
      <c r="A311" s="4"/>
    </row>
    <row r="312" spans="1:1" x14ac:dyDescent="0.25">
      <c r="A312" s="4" t="str">
        <f>"! Constrain lattice constant to be within material bounds"</f>
        <v>! Constrain lattice constant to be within material bounds</v>
      </c>
    </row>
    <row r="313" spans="1:1" x14ac:dyDescent="0.25">
      <c r="A313" s="4" t="str">
        <f>"@concmax_"&amp;E28&amp;" &gt; "&amp;C25&amp;" &lt; "&amp;C26</f>
        <v>@concmax_1 &gt; 0 &lt; 1</v>
      </c>
    </row>
    <row r="314" spans="1:1" x14ac:dyDescent="0.25">
      <c r="A314" s="4" t="str">
        <f>"@concmin_"&amp;E28&amp;" &gt; "&amp;C25&amp;" &lt; "&amp;C26</f>
        <v>@concmin_1 &gt; 0 &lt; 1</v>
      </c>
    </row>
    <row r="315" spans="1:1" x14ac:dyDescent="0.25">
      <c r="A315" s="4"/>
    </row>
    <row r="316" spans="1:1" x14ac:dyDescent="0.25">
      <c r="A316" s="4" t="str">
        <f>"! Constrain the 'useless' grin region to be small"</f>
        <v>! Constrain the 'useless' grin region to be small</v>
      </c>
    </row>
    <row r="317" spans="1:1" x14ac:dyDescent="0.25">
      <c r="A317" s="4" t="str">
        <f>"@uselessgrin_"&amp;E28&amp;" == MINF((CT S'grin"&amp;E28&amp;"'),(ET S'grin"&amp;E28&amp;"'))"</f>
        <v>@uselessgrin_1 == MINF((CT S'grin1'),(ET S'grin1'))</v>
      </c>
    </row>
    <row r="318" spans="1:1" x14ac:dyDescent="0.25">
      <c r="A318" s="4" t="str">
        <f>"@uselessgrin_"&amp;E28&amp;" &gt; 0.05 &lt; 0.1"</f>
        <v>@uselessgrin_1 &gt; 0.05 &lt; 0.1</v>
      </c>
    </row>
    <row r="319" spans="1:1" x14ac:dyDescent="0.25">
      <c r="A319" s="4" t="str">
        <f>"CT S'grin"&amp;E28&amp;"' &gt; 0.05"</f>
        <v>CT S'grin1' &gt; 0.05</v>
      </c>
    </row>
    <row r="320" spans="1:1" x14ac:dyDescent="0.25">
      <c r="A320" s="4" t="str">
        <f>"ET S'grin"&amp;E28&amp;"' &gt; 0.05"</f>
        <v>ET S'grin1' &gt; 0.05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Material Properties</vt:lpstr>
      <vt:lpstr>Create New Materials</vt:lpstr>
      <vt:lpstr>Radial GRIN Controls</vt:lpstr>
      <vt:lpstr>Spherical GRIN Controls</vt:lpstr>
      <vt:lpstr>Rad-Spherical GRIN Controls</vt:lpstr>
      <vt:lpstr>Axial GRIN Controls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McCarthy</dc:creator>
  <cp:lastModifiedBy>Anthony Yee</cp:lastModifiedBy>
  <cp:lastPrinted>2012-06-14T20:44:50Z</cp:lastPrinted>
  <dcterms:created xsi:type="dcterms:W3CDTF">2011-03-03T20:50:57Z</dcterms:created>
  <dcterms:modified xsi:type="dcterms:W3CDTF">2016-03-10T20:13:34Z</dcterms:modified>
</cp:coreProperties>
</file>